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1700" yWindow="2920" windowWidth="25600" windowHeight="18380" tabRatio="500"/>
  </bookViews>
  <sheets>
    <sheet name="Table 1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6" i="1" l="1"/>
  <c r="D67" i="1"/>
  <c r="D68" i="1"/>
  <c r="D69" i="1"/>
  <c r="B69" i="1"/>
  <c r="B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E3" i="1"/>
  <c r="CF3" i="1"/>
  <c r="CE4" i="1"/>
  <c r="CF4" i="1"/>
  <c r="CE5" i="1"/>
  <c r="CF5" i="1"/>
  <c r="CE6" i="1"/>
  <c r="CF6" i="1"/>
  <c r="CE7" i="1"/>
  <c r="CF7" i="1"/>
  <c r="CE8" i="1"/>
  <c r="CF8" i="1"/>
  <c r="CE9" i="1"/>
  <c r="CF9" i="1"/>
  <c r="CE10" i="1"/>
  <c r="CF10" i="1"/>
  <c r="CE11" i="1"/>
  <c r="CF11" i="1"/>
  <c r="CE12" i="1"/>
  <c r="CF12" i="1"/>
  <c r="CE13" i="1"/>
  <c r="CF13" i="1"/>
  <c r="CE14" i="1"/>
  <c r="CF14" i="1"/>
  <c r="CE15" i="1"/>
  <c r="CF15" i="1"/>
  <c r="CE16" i="1"/>
  <c r="CF16" i="1"/>
  <c r="CE17" i="1"/>
  <c r="CF17" i="1"/>
  <c r="CE18" i="1"/>
  <c r="CF18" i="1"/>
  <c r="CE19" i="1"/>
  <c r="CF19" i="1"/>
  <c r="CE20" i="1"/>
  <c r="CF20" i="1"/>
  <c r="CE21" i="1"/>
  <c r="CF21" i="1"/>
  <c r="CE22" i="1"/>
  <c r="CF22" i="1"/>
  <c r="CE23" i="1"/>
  <c r="CF23" i="1"/>
  <c r="CE24" i="1"/>
  <c r="CF24" i="1"/>
  <c r="CE25" i="1"/>
  <c r="CF25" i="1"/>
  <c r="CE26" i="1"/>
  <c r="CF26" i="1"/>
  <c r="CE27" i="1"/>
  <c r="CF27" i="1"/>
  <c r="CE28" i="1"/>
  <c r="CF28" i="1"/>
  <c r="CF29" i="1"/>
  <c r="CE29" i="1"/>
  <c r="CB29" i="1"/>
  <c r="CC15" i="1"/>
  <c r="CC28" i="1"/>
  <c r="CC29" i="1"/>
  <c r="BZ29" i="1"/>
  <c r="CA24" i="1"/>
  <c r="CA26" i="1"/>
  <c r="CA28" i="1"/>
  <c r="CA29" i="1"/>
  <c r="BX29" i="1"/>
  <c r="BY8" i="1"/>
  <c r="BY13" i="1"/>
  <c r="BY20" i="1"/>
  <c r="BY23" i="1"/>
  <c r="BY24" i="1"/>
  <c r="BY26" i="1"/>
  <c r="BY28" i="1"/>
  <c r="BY29" i="1"/>
  <c r="BW24" i="1"/>
  <c r="BW29" i="1"/>
  <c r="BV29" i="1"/>
  <c r="BU20" i="1"/>
  <c r="BU24" i="1"/>
  <c r="BU28" i="1"/>
  <c r="BU29" i="1"/>
  <c r="BT29" i="1"/>
  <c r="BS8" i="1"/>
  <c r="BS20" i="1"/>
  <c r="BS23" i="1"/>
  <c r="BS26" i="1"/>
  <c r="BS28" i="1"/>
  <c r="BS29" i="1"/>
  <c r="BR29" i="1"/>
  <c r="BQ8" i="1"/>
  <c r="BQ13" i="1"/>
  <c r="BQ17" i="1"/>
  <c r="BQ20" i="1"/>
  <c r="BQ23" i="1"/>
  <c r="BQ26" i="1"/>
  <c r="BQ27" i="1"/>
  <c r="BQ28" i="1"/>
  <c r="BQ29" i="1"/>
  <c r="BP29" i="1"/>
  <c r="BO9" i="1"/>
  <c r="BO20" i="1"/>
  <c r="BO26" i="1"/>
  <c r="BO28" i="1"/>
  <c r="BO29" i="1"/>
  <c r="BN29" i="1"/>
  <c r="BM17" i="1"/>
  <c r="BM20" i="1"/>
  <c r="BM24" i="1"/>
  <c r="BM28" i="1"/>
  <c r="BM29" i="1"/>
  <c r="BL29" i="1"/>
  <c r="BK4" i="1"/>
  <c r="BK14" i="1"/>
  <c r="BK20" i="1"/>
  <c r="BK22" i="1"/>
  <c r="BK23" i="1"/>
  <c r="BK25" i="1"/>
  <c r="BK26" i="1"/>
  <c r="BK28" i="1"/>
  <c r="BK29" i="1"/>
  <c r="BJ29" i="1"/>
  <c r="BI23" i="1"/>
  <c r="BI26" i="1"/>
  <c r="BI29" i="1"/>
  <c r="BH29" i="1"/>
  <c r="BG5" i="1"/>
  <c r="BG8" i="1"/>
  <c r="BG13" i="1"/>
  <c r="BG15" i="1"/>
  <c r="BG19" i="1"/>
  <c r="BG20" i="1"/>
  <c r="BG23" i="1"/>
  <c r="BG24" i="1"/>
  <c r="BG25" i="1"/>
  <c r="BG28" i="1"/>
  <c r="BG29" i="1"/>
  <c r="BF29" i="1"/>
  <c r="BE28" i="1"/>
  <c r="BE29" i="1"/>
  <c r="BD29" i="1"/>
  <c r="BC5" i="1"/>
  <c r="BC8" i="1"/>
  <c r="BC13" i="1"/>
  <c r="BC14" i="1"/>
  <c r="BC15" i="1"/>
  <c r="BC17" i="1"/>
  <c r="BC20" i="1"/>
  <c r="BC21" i="1"/>
  <c r="BC23" i="1"/>
  <c r="BC24" i="1"/>
  <c r="BC26" i="1"/>
  <c r="BC28" i="1"/>
  <c r="BC29" i="1"/>
  <c r="BB29" i="1"/>
  <c r="BA3" i="1"/>
  <c r="BA8" i="1"/>
  <c r="BA13" i="1"/>
  <c r="BA14" i="1"/>
  <c r="BA17" i="1"/>
  <c r="BA20" i="1"/>
  <c r="BA23" i="1"/>
  <c r="BA24" i="1"/>
  <c r="BA26" i="1"/>
  <c r="BA27" i="1"/>
  <c r="BA28" i="1"/>
  <c r="BA29" i="1"/>
  <c r="AZ29" i="1"/>
  <c r="AY20" i="1"/>
  <c r="AY26" i="1"/>
  <c r="AY28" i="1"/>
  <c r="AY29" i="1"/>
  <c r="AX29" i="1"/>
  <c r="AW3" i="1"/>
  <c r="AW8" i="1"/>
  <c r="AW20" i="1"/>
  <c r="AW23" i="1"/>
  <c r="AW24" i="1"/>
  <c r="AW25" i="1"/>
  <c r="AW26" i="1"/>
  <c r="AW28" i="1"/>
  <c r="AW29" i="1"/>
  <c r="AV29" i="1"/>
  <c r="AU20" i="1"/>
  <c r="AU29" i="1"/>
  <c r="AT29" i="1"/>
  <c r="AS20" i="1"/>
  <c r="AS28" i="1"/>
  <c r="AS29" i="1"/>
  <c r="AR29" i="1"/>
  <c r="AQ28" i="1"/>
  <c r="AQ29" i="1"/>
  <c r="AP29" i="1"/>
  <c r="AO3" i="1"/>
  <c r="AO10" i="1"/>
  <c r="AO14" i="1"/>
  <c r="AO23" i="1"/>
  <c r="AO24" i="1"/>
  <c r="AO26" i="1"/>
  <c r="AO28" i="1"/>
  <c r="AO29" i="1"/>
  <c r="AN29" i="1"/>
  <c r="AM7" i="1"/>
  <c r="AM8" i="1"/>
  <c r="AM20" i="1"/>
  <c r="AM22" i="1"/>
  <c r="AM23" i="1"/>
  <c r="AM24" i="1"/>
  <c r="AM26" i="1"/>
  <c r="AM28" i="1"/>
  <c r="AM29" i="1"/>
  <c r="AL29" i="1"/>
  <c r="AK4" i="1"/>
  <c r="AK7" i="1"/>
  <c r="AK8" i="1"/>
  <c r="AK20" i="1"/>
  <c r="AK23" i="1"/>
  <c r="AK26" i="1"/>
  <c r="AK28" i="1"/>
  <c r="AK29" i="1"/>
  <c r="AJ29" i="1"/>
  <c r="AI8" i="1"/>
  <c r="AI14" i="1"/>
  <c r="AI20" i="1"/>
  <c r="AI23" i="1"/>
  <c r="AI26" i="1"/>
  <c r="AI28" i="1"/>
  <c r="AI29" i="1"/>
  <c r="AH29" i="1"/>
  <c r="AG3" i="1"/>
  <c r="AG14" i="1"/>
  <c r="AG17" i="1"/>
  <c r="AG20" i="1"/>
  <c r="AG28" i="1"/>
  <c r="AG29" i="1"/>
  <c r="AF29" i="1"/>
  <c r="AE8" i="1"/>
  <c r="AE11" i="1"/>
  <c r="AE12" i="1"/>
  <c r="AE13" i="1"/>
  <c r="AE17" i="1"/>
  <c r="AE20" i="1"/>
  <c r="AE23" i="1"/>
  <c r="AE24" i="1"/>
  <c r="AE26" i="1"/>
  <c r="AE28" i="1"/>
  <c r="AE29" i="1"/>
  <c r="AD29" i="1"/>
  <c r="AC13" i="1"/>
  <c r="AC20" i="1"/>
  <c r="AC23" i="1"/>
  <c r="AC26" i="1"/>
  <c r="AC28" i="1"/>
  <c r="AC29" i="1"/>
  <c r="AB29" i="1"/>
  <c r="AA26" i="1"/>
  <c r="AA29" i="1"/>
  <c r="Z29" i="1"/>
  <c r="Y17" i="1"/>
  <c r="Y20" i="1"/>
  <c r="Y23" i="1"/>
  <c r="Y26" i="1"/>
  <c r="Y27" i="1"/>
  <c r="Y28" i="1"/>
  <c r="Y29" i="1"/>
  <c r="X29" i="1"/>
  <c r="W8" i="1"/>
  <c r="W13" i="1"/>
  <c r="W14" i="1"/>
  <c r="W19" i="1"/>
  <c r="W20" i="1"/>
  <c r="W23" i="1"/>
  <c r="W26" i="1"/>
  <c r="W27" i="1"/>
  <c r="W28" i="1"/>
  <c r="W29" i="1"/>
  <c r="V29" i="1"/>
  <c r="U28" i="1"/>
  <c r="U29" i="1"/>
  <c r="T29" i="1"/>
  <c r="S5" i="1"/>
  <c r="S8" i="1"/>
  <c r="S14" i="1"/>
  <c r="S17" i="1"/>
  <c r="S20" i="1"/>
  <c r="S23" i="1"/>
  <c r="S24" i="1"/>
  <c r="S25" i="1"/>
  <c r="S26" i="1"/>
  <c r="S28" i="1"/>
  <c r="S29" i="1"/>
  <c r="R29" i="1"/>
  <c r="Q3" i="1"/>
  <c r="Q13" i="1"/>
  <c r="Q20" i="1"/>
  <c r="Q24" i="1"/>
  <c r="Q26" i="1"/>
  <c r="Q28" i="1"/>
  <c r="Q29" i="1"/>
  <c r="P29" i="1"/>
  <c r="O3" i="1"/>
  <c r="O8" i="1"/>
  <c r="O9" i="1"/>
  <c r="O14" i="1"/>
  <c r="O17" i="1"/>
  <c r="O20" i="1"/>
  <c r="O23" i="1"/>
  <c r="O26" i="1"/>
  <c r="O28" i="1"/>
  <c r="O29" i="1"/>
  <c r="N29" i="1"/>
  <c r="M3" i="1"/>
  <c r="M14" i="1"/>
  <c r="M15" i="1"/>
  <c r="M19" i="1"/>
  <c r="M20" i="1"/>
  <c r="M22" i="1"/>
  <c r="M23" i="1"/>
  <c r="M24" i="1"/>
  <c r="M25" i="1"/>
  <c r="M26" i="1"/>
  <c r="M27" i="1"/>
  <c r="M28" i="1"/>
  <c r="M29" i="1"/>
  <c r="L29" i="1"/>
  <c r="K3" i="1"/>
  <c r="K4" i="1"/>
  <c r="K5" i="1"/>
  <c r="K7" i="1"/>
  <c r="K8" i="1"/>
  <c r="K14" i="1"/>
  <c r="K16" i="1"/>
  <c r="K17" i="1"/>
  <c r="K20" i="1"/>
  <c r="K23" i="1"/>
  <c r="K24" i="1"/>
  <c r="K26" i="1"/>
  <c r="K27" i="1"/>
  <c r="K28" i="1"/>
  <c r="K29" i="1"/>
  <c r="J29" i="1"/>
  <c r="I26" i="1"/>
  <c r="I27" i="1"/>
  <c r="I29" i="1"/>
  <c r="H29" i="1"/>
  <c r="G3" i="1"/>
  <c r="G5" i="1"/>
  <c r="G6" i="1"/>
  <c r="G8" i="1"/>
  <c r="G13" i="1"/>
  <c r="G14" i="1"/>
  <c r="G15" i="1"/>
  <c r="G17" i="1"/>
  <c r="G20" i="1"/>
  <c r="G23" i="1"/>
  <c r="G24" i="1"/>
  <c r="G28" i="1"/>
  <c r="G29" i="1"/>
  <c r="F29" i="1"/>
  <c r="E8" i="1"/>
  <c r="E20" i="1"/>
  <c r="E23" i="1"/>
  <c r="E24" i="1"/>
  <c r="E26" i="1"/>
  <c r="E27" i="1"/>
  <c r="E28" i="1"/>
  <c r="E29" i="1"/>
  <c r="D29" i="1"/>
  <c r="C18" i="1"/>
  <c r="C20" i="1"/>
  <c r="C23" i="1"/>
  <c r="C26" i="1"/>
  <c r="C27" i="1"/>
  <c r="C28" i="1"/>
  <c r="C29" i="1"/>
  <c r="B29" i="1"/>
</calcChain>
</file>

<file path=xl/sharedStrings.xml><?xml version="1.0" encoding="utf-8"?>
<sst xmlns="http://schemas.openxmlformats.org/spreadsheetml/2006/main" count="172" uniqueCount="73">
  <si>
    <t>SPECIES</t>
  </si>
  <si>
    <t>SU 1135=1163</t>
  </si>
  <si>
    <t>SU 1156*</t>
  </si>
  <si>
    <t>SU 1158*</t>
  </si>
  <si>
    <t>SU 1162</t>
  </si>
  <si>
    <t>SU 1165*</t>
  </si>
  <si>
    <t>SU 1168*</t>
  </si>
  <si>
    <t>SU 1169*</t>
  </si>
  <si>
    <t>SU 1174</t>
  </si>
  <si>
    <t>SU 1177*</t>
  </si>
  <si>
    <t>SU 1190</t>
  </si>
  <si>
    <t>SU 1199*</t>
  </si>
  <si>
    <t>SU 1203</t>
  </si>
  <si>
    <t>SU 1211</t>
  </si>
  <si>
    <t>SU 1214</t>
  </si>
  <si>
    <t>SU 1218</t>
  </si>
  <si>
    <t>SU 1221*</t>
  </si>
  <si>
    <t>SU 1222</t>
  </si>
  <si>
    <t>SU 1227*</t>
  </si>
  <si>
    <t>SU 1232</t>
  </si>
  <si>
    <t>SU 1242*</t>
  </si>
  <si>
    <t>SU 1260</t>
  </si>
  <si>
    <t>SU 1270</t>
  </si>
  <si>
    <t>SU 1271</t>
  </si>
  <si>
    <t>SU 1273</t>
  </si>
  <si>
    <t>SU 1275</t>
  </si>
  <si>
    <t>SU 1320</t>
  </si>
  <si>
    <t>SU 1327</t>
  </si>
  <si>
    <t>SU 1330</t>
  </si>
  <si>
    <t>SU 1340</t>
  </si>
  <si>
    <t>SU 1384</t>
  </si>
  <si>
    <t>SU 1388</t>
  </si>
  <si>
    <t>SU 1401</t>
  </si>
  <si>
    <t>SU 1405</t>
  </si>
  <si>
    <t>SU 1406</t>
  </si>
  <si>
    <t>SU 1412</t>
  </si>
  <si>
    <t>SU 1422</t>
  </si>
  <si>
    <t>SU 1465</t>
  </si>
  <si>
    <t>SU 1304</t>
  </si>
  <si>
    <t>SU 1408</t>
  </si>
  <si>
    <t>SU 1459*</t>
  </si>
  <si>
    <t>TOTAL Phase 3</t>
  </si>
  <si>
    <t>N</t>
  </si>
  <si>
    <t>%</t>
  </si>
  <si>
    <t>Terrestrial Gastropoda</t>
  </si>
  <si>
    <t>Fresh water Bivalvia</t>
  </si>
  <si>
    <t>Marine Bivalvia</t>
  </si>
  <si>
    <t>Marine Gastropoda</t>
  </si>
  <si>
    <t>Amphibia</t>
  </si>
  <si>
    <t>Aves</t>
  </si>
  <si>
    <t>Anas platyrhyncos</t>
  </si>
  <si>
    <t>Columba livia/oenas</t>
  </si>
  <si>
    <t>Columba palumbus</t>
  </si>
  <si>
    <t>Vanellus vanellus</t>
  </si>
  <si>
    <t>Gallus gallus</t>
  </si>
  <si>
    <t>Microfauna</t>
  </si>
  <si>
    <t>Homo sapiens</t>
  </si>
  <si>
    <t>Vulpes vulpes</t>
  </si>
  <si>
    <t>Canis familiaris</t>
  </si>
  <si>
    <t>Equus asinus</t>
  </si>
  <si>
    <t>Equus caballus</t>
  </si>
  <si>
    <t>Sus domesticus</t>
  </si>
  <si>
    <t>Cervus elaphus</t>
  </si>
  <si>
    <t>Ovis aries</t>
  </si>
  <si>
    <t>Ovis vel Capra</t>
  </si>
  <si>
    <t>Bos taurus</t>
  </si>
  <si>
    <t>Small Mammal</t>
  </si>
  <si>
    <t>Medium Mammal</t>
  </si>
  <si>
    <t>Large Ungulate</t>
  </si>
  <si>
    <t>Unidentifiable</t>
  </si>
  <si>
    <t>TOTAL</t>
  </si>
  <si>
    <t>Mollusca</t>
  </si>
  <si>
    <t>Anguilla anguilla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</si>
</sst>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9"/>
  <sheetViews>
    <sheetView tabSelected="1" workbookViewId="0">
      <selection activeCell="J34" sqref="J34"/>
    </sheetView>
  </sheetViews>
  <sheetFormatPr baseColWidth="10" defaultColWidth="8.83203125" defaultRowHeight="14" x14ac:dyDescent="0"/>
  <cols>
    <col min="1" max="1" width="24.5" style="8" bestFit="1" customWidth="1"/>
    <col min="2" max="73" width="7.6640625" style="9" customWidth="1"/>
    <col min="74" max="74" width="7.6640625" style="12" customWidth="1"/>
    <col min="75" max="75" width="7.6640625" style="9" customWidth="1"/>
    <col min="76" max="76" width="9.6640625" style="3" customWidth="1"/>
    <col min="77" max="77" width="9.6640625" style="5" customWidth="1"/>
    <col min="78" max="16384" width="8.83203125" style="8"/>
  </cols>
  <sheetData>
    <row r="1" spans="1:84" s="5" customFormat="1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2"/>
      <c r="N1" s="2" t="s">
        <v>7</v>
      </c>
      <c r="O1" s="2"/>
      <c r="P1" s="2" t="s">
        <v>8</v>
      </c>
      <c r="Q1" s="2"/>
      <c r="R1" s="2" t="s">
        <v>9</v>
      </c>
      <c r="S1" s="2"/>
      <c r="T1" s="2" t="s">
        <v>10</v>
      </c>
      <c r="U1" s="2"/>
      <c r="V1" s="2" t="s">
        <v>11</v>
      </c>
      <c r="W1" s="2"/>
      <c r="X1" s="2" t="s">
        <v>12</v>
      </c>
      <c r="Y1" s="2"/>
      <c r="Z1" s="2" t="s">
        <v>13</v>
      </c>
      <c r="AA1" s="2"/>
      <c r="AB1" s="2" t="s">
        <v>14</v>
      </c>
      <c r="AC1" s="2"/>
      <c r="AD1" s="2" t="s">
        <v>15</v>
      </c>
      <c r="AE1" s="2"/>
      <c r="AF1" s="2" t="s">
        <v>16</v>
      </c>
      <c r="AG1" s="2"/>
      <c r="AH1" s="2" t="s">
        <v>17</v>
      </c>
      <c r="AI1" s="2"/>
      <c r="AJ1" s="2" t="s">
        <v>18</v>
      </c>
      <c r="AK1" s="2"/>
      <c r="AL1" s="2" t="s">
        <v>19</v>
      </c>
      <c r="AM1" s="2"/>
      <c r="AN1" s="2" t="s">
        <v>20</v>
      </c>
      <c r="AO1" s="2"/>
      <c r="AP1" s="2" t="s">
        <v>21</v>
      </c>
      <c r="AQ1" s="2"/>
      <c r="AR1" s="2" t="s">
        <v>22</v>
      </c>
      <c r="AS1" s="2"/>
      <c r="AT1" s="2" t="s">
        <v>23</v>
      </c>
      <c r="AU1" s="2"/>
      <c r="AV1" s="2" t="s">
        <v>24</v>
      </c>
      <c r="AW1" s="2"/>
      <c r="AX1" s="2" t="s">
        <v>25</v>
      </c>
      <c r="AY1" s="2"/>
      <c r="AZ1" s="2" t="s">
        <v>26</v>
      </c>
      <c r="BA1" s="2"/>
      <c r="BB1" s="2" t="s">
        <v>27</v>
      </c>
      <c r="BC1" s="2"/>
      <c r="BD1" s="2" t="s">
        <v>28</v>
      </c>
      <c r="BE1" s="2"/>
      <c r="BF1" s="3" t="s">
        <v>29</v>
      </c>
      <c r="BG1" s="3"/>
      <c r="BH1" s="3" t="s">
        <v>30</v>
      </c>
      <c r="BI1" s="3"/>
      <c r="BJ1" s="3" t="s">
        <v>31</v>
      </c>
      <c r="BK1" s="3"/>
      <c r="BL1" s="3" t="s">
        <v>32</v>
      </c>
      <c r="BM1" s="3"/>
      <c r="BN1" s="2" t="s">
        <v>33</v>
      </c>
      <c r="BO1" s="2"/>
      <c r="BP1" s="2" t="s">
        <v>34</v>
      </c>
      <c r="BQ1" s="2"/>
      <c r="BR1" s="2" t="s">
        <v>35</v>
      </c>
      <c r="BS1" s="2"/>
      <c r="BT1" s="2" t="s">
        <v>36</v>
      </c>
      <c r="BU1" s="2"/>
      <c r="BV1" s="2" t="s">
        <v>37</v>
      </c>
      <c r="BW1" s="2"/>
      <c r="BX1" s="4" t="s">
        <v>38</v>
      </c>
      <c r="BY1" s="4"/>
      <c r="BZ1" s="4" t="s">
        <v>39</v>
      </c>
      <c r="CA1" s="4"/>
      <c r="CB1" s="4" t="s">
        <v>40</v>
      </c>
      <c r="CC1" s="4"/>
      <c r="CE1" s="4" t="s">
        <v>41</v>
      </c>
      <c r="CF1" s="4"/>
    </row>
    <row r="2" spans="1:84" s="5" customFormat="1" ht="13">
      <c r="A2" s="1"/>
      <c r="B2" s="6" t="s">
        <v>42</v>
      </c>
      <c r="C2" s="6" t="s">
        <v>43</v>
      </c>
      <c r="D2" s="6" t="s">
        <v>42</v>
      </c>
      <c r="E2" s="6" t="s">
        <v>43</v>
      </c>
      <c r="F2" s="6" t="s">
        <v>42</v>
      </c>
      <c r="G2" s="6" t="s">
        <v>43</v>
      </c>
      <c r="H2" s="6" t="s">
        <v>42</v>
      </c>
      <c r="I2" s="6" t="s">
        <v>43</v>
      </c>
      <c r="J2" s="6" t="s">
        <v>42</v>
      </c>
      <c r="K2" s="6" t="s">
        <v>43</v>
      </c>
      <c r="L2" s="6" t="s">
        <v>42</v>
      </c>
      <c r="M2" s="6" t="s">
        <v>43</v>
      </c>
      <c r="N2" s="6" t="s">
        <v>42</v>
      </c>
      <c r="O2" s="6" t="s">
        <v>43</v>
      </c>
      <c r="P2" s="6" t="s">
        <v>42</v>
      </c>
      <c r="Q2" s="6" t="s">
        <v>43</v>
      </c>
      <c r="R2" s="6" t="s">
        <v>42</v>
      </c>
      <c r="S2" s="6" t="s">
        <v>43</v>
      </c>
      <c r="T2" s="6" t="s">
        <v>42</v>
      </c>
      <c r="U2" s="6" t="s">
        <v>43</v>
      </c>
      <c r="V2" s="6" t="s">
        <v>42</v>
      </c>
      <c r="W2" s="6" t="s">
        <v>43</v>
      </c>
      <c r="X2" s="6" t="s">
        <v>42</v>
      </c>
      <c r="Y2" s="6" t="s">
        <v>43</v>
      </c>
      <c r="Z2" s="6" t="s">
        <v>42</v>
      </c>
      <c r="AA2" s="6" t="s">
        <v>43</v>
      </c>
      <c r="AB2" s="6" t="s">
        <v>42</v>
      </c>
      <c r="AC2" s="6" t="s">
        <v>43</v>
      </c>
      <c r="AD2" s="6" t="s">
        <v>42</v>
      </c>
      <c r="AE2" s="6" t="s">
        <v>43</v>
      </c>
      <c r="AF2" s="6" t="s">
        <v>42</v>
      </c>
      <c r="AG2" s="6" t="s">
        <v>43</v>
      </c>
      <c r="AH2" s="6" t="s">
        <v>42</v>
      </c>
      <c r="AI2" s="6" t="s">
        <v>43</v>
      </c>
      <c r="AJ2" s="6" t="s">
        <v>42</v>
      </c>
      <c r="AK2" s="6" t="s">
        <v>43</v>
      </c>
      <c r="AL2" s="6" t="s">
        <v>42</v>
      </c>
      <c r="AM2" s="6" t="s">
        <v>43</v>
      </c>
      <c r="AN2" s="6" t="s">
        <v>42</v>
      </c>
      <c r="AO2" s="6" t="s">
        <v>43</v>
      </c>
      <c r="AP2" s="6" t="s">
        <v>42</v>
      </c>
      <c r="AQ2" s="6" t="s">
        <v>43</v>
      </c>
      <c r="AR2" s="6" t="s">
        <v>42</v>
      </c>
      <c r="AS2" s="6" t="s">
        <v>43</v>
      </c>
      <c r="AT2" s="6" t="s">
        <v>42</v>
      </c>
      <c r="AU2" s="6" t="s">
        <v>43</v>
      </c>
      <c r="AV2" s="6" t="s">
        <v>42</v>
      </c>
      <c r="AW2" s="6" t="s">
        <v>43</v>
      </c>
      <c r="AX2" s="6" t="s">
        <v>42</v>
      </c>
      <c r="AY2" s="6" t="s">
        <v>43</v>
      </c>
      <c r="AZ2" s="6" t="s">
        <v>42</v>
      </c>
      <c r="BA2" s="6" t="s">
        <v>43</v>
      </c>
      <c r="BB2" s="6" t="s">
        <v>42</v>
      </c>
      <c r="BC2" s="6" t="s">
        <v>43</v>
      </c>
      <c r="BD2" s="6" t="s">
        <v>42</v>
      </c>
      <c r="BE2" s="6" t="s">
        <v>43</v>
      </c>
      <c r="BF2" s="6" t="s">
        <v>42</v>
      </c>
      <c r="BG2" s="6" t="s">
        <v>43</v>
      </c>
      <c r="BH2" s="6" t="s">
        <v>42</v>
      </c>
      <c r="BI2" s="6" t="s">
        <v>43</v>
      </c>
      <c r="BJ2" s="6" t="s">
        <v>42</v>
      </c>
      <c r="BK2" s="6" t="s">
        <v>43</v>
      </c>
      <c r="BL2" s="6" t="s">
        <v>42</v>
      </c>
      <c r="BM2" s="6" t="s">
        <v>43</v>
      </c>
      <c r="BN2" s="6" t="s">
        <v>42</v>
      </c>
      <c r="BO2" s="6" t="s">
        <v>43</v>
      </c>
      <c r="BP2" s="6" t="s">
        <v>42</v>
      </c>
      <c r="BQ2" s="6" t="s">
        <v>43</v>
      </c>
      <c r="BR2" s="6" t="s">
        <v>42</v>
      </c>
      <c r="BS2" s="6" t="s">
        <v>43</v>
      </c>
      <c r="BT2" s="6" t="s">
        <v>42</v>
      </c>
      <c r="BU2" s="6" t="s">
        <v>43</v>
      </c>
      <c r="BV2" s="7" t="s">
        <v>42</v>
      </c>
      <c r="BW2" s="6" t="s">
        <v>43</v>
      </c>
      <c r="BX2" s="6" t="s">
        <v>42</v>
      </c>
      <c r="BY2" s="6" t="s">
        <v>43</v>
      </c>
      <c r="BZ2" s="6" t="s">
        <v>42</v>
      </c>
      <c r="CA2" s="6" t="s">
        <v>43</v>
      </c>
      <c r="CB2" s="6" t="s">
        <v>42</v>
      </c>
      <c r="CC2" s="6" t="s">
        <v>43</v>
      </c>
      <c r="CE2" s="6" t="s">
        <v>42</v>
      </c>
      <c r="CF2" s="6" t="s">
        <v>43</v>
      </c>
    </row>
    <row r="3" spans="1:84">
      <c r="A3" s="8" t="s">
        <v>44</v>
      </c>
      <c r="F3" s="9">
        <v>3</v>
      </c>
      <c r="G3" s="10">
        <f>F3/231%</f>
        <v>1.2987012987012987</v>
      </c>
      <c r="J3" s="9">
        <v>1</v>
      </c>
      <c r="K3" s="10">
        <f>J3/291%</f>
        <v>0.3436426116838488</v>
      </c>
      <c r="L3" s="11">
        <v>2</v>
      </c>
      <c r="M3" s="10">
        <f>L3/135%</f>
        <v>1.4814814814814814</v>
      </c>
      <c r="N3" s="9">
        <v>1</v>
      </c>
      <c r="O3" s="10">
        <f>N3/114%</f>
        <v>0.87719298245614041</v>
      </c>
      <c r="P3" s="11">
        <v>6</v>
      </c>
      <c r="Q3" s="10">
        <f>P3/32%</f>
        <v>18.75</v>
      </c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>
        <v>1</v>
      </c>
      <c r="AG3" s="10">
        <f>AF3/44%</f>
        <v>2.2727272727272729</v>
      </c>
      <c r="AH3" s="10"/>
      <c r="AI3" s="10"/>
      <c r="AJ3" s="10"/>
      <c r="AK3" s="10"/>
      <c r="AL3" s="10"/>
      <c r="AM3" s="10"/>
      <c r="AN3" s="11">
        <v>3</v>
      </c>
      <c r="AO3" s="10">
        <f>AN3/51%</f>
        <v>5.8823529411764701</v>
      </c>
      <c r="AP3" s="10"/>
      <c r="AQ3" s="10"/>
      <c r="AR3" s="10"/>
      <c r="AS3" s="10"/>
      <c r="AT3" s="10"/>
      <c r="AU3" s="10"/>
      <c r="AV3" s="11">
        <v>1</v>
      </c>
      <c r="AW3" s="10">
        <f>AV3/18%</f>
        <v>5.5555555555555554</v>
      </c>
      <c r="AX3" s="10"/>
      <c r="AY3" s="10"/>
      <c r="AZ3" s="11">
        <v>2</v>
      </c>
      <c r="BA3" s="10">
        <f>AZ3/172%</f>
        <v>1.1627906976744187</v>
      </c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W3" s="10"/>
      <c r="CE3" s="13">
        <f t="shared" ref="CE3:CE28" si="0">SUM(B3,D3,F3,H3,J3,L3,N3,P3,R3,T3,V3,X3,Z3,AB3,AD3,AF3,AH3,AJ3,AL3,AN3,AP3,AR3,AT3,AV3,AX3,AZ3,BB3,BD3,BF3,BH3,BJ3,BL3,BN3,BP3,BR3,BT3,BV3)</f>
        <v>20</v>
      </c>
      <c r="CF3" s="14">
        <f>CE3/2225%</f>
        <v>0.898876404494382</v>
      </c>
    </row>
    <row r="4" spans="1:84">
      <c r="A4" s="8" t="s">
        <v>45</v>
      </c>
      <c r="G4" s="10"/>
      <c r="J4" s="9">
        <v>2</v>
      </c>
      <c r="K4" s="10">
        <f t="shared" ref="K4:K28" si="1">J4/291%</f>
        <v>0.6872852233676976</v>
      </c>
      <c r="L4" s="11"/>
      <c r="M4" s="10"/>
      <c r="O4" s="10"/>
      <c r="P4" s="11"/>
      <c r="Q4" s="10"/>
      <c r="R4" s="1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  <c r="AG4" s="10"/>
      <c r="AH4" s="11"/>
      <c r="AI4" s="10"/>
      <c r="AJ4" s="11">
        <v>1</v>
      </c>
      <c r="AK4" s="10">
        <f>AJ4/57%</f>
        <v>1.7543859649122808</v>
      </c>
      <c r="AL4" s="11"/>
      <c r="AM4" s="10"/>
      <c r="AN4" s="11"/>
      <c r="AO4" s="10"/>
      <c r="AP4" s="10"/>
      <c r="AQ4" s="10"/>
      <c r="AR4" s="10"/>
      <c r="AS4" s="10"/>
      <c r="AT4" s="10"/>
      <c r="AU4" s="10"/>
      <c r="AV4" s="11"/>
      <c r="AW4" s="10"/>
      <c r="AX4" s="10"/>
      <c r="AY4" s="10"/>
      <c r="AZ4" s="11"/>
      <c r="BA4" s="10"/>
      <c r="BB4" s="10"/>
      <c r="BC4" s="10"/>
      <c r="BD4" s="10"/>
      <c r="BE4" s="10"/>
      <c r="BF4" s="11"/>
      <c r="BG4" s="10"/>
      <c r="BH4" s="10"/>
      <c r="BI4" s="10"/>
      <c r="BJ4" s="11">
        <v>1</v>
      </c>
      <c r="BK4" s="10">
        <f>BJ4/17%</f>
        <v>5.8823529411764701</v>
      </c>
      <c r="BL4" s="10"/>
      <c r="BM4" s="10"/>
      <c r="BN4" s="10"/>
      <c r="BO4" s="10"/>
      <c r="BP4" s="10"/>
      <c r="BQ4" s="10"/>
      <c r="BR4" s="10"/>
      <c r="BS4" s="10"/>
      <c r="BT4" s="10"/>
      <c r="BU4" s="10"/>
      <c r="BW4" s="10"/>
      <c r="CE4" s="13">
        <f t="shared" si="0"/>
        <v>4</v>
      </c>
      <c r="CF4" s="14">
        <f t="shared" ref="CF4:CF28" si="2">CE4/2225%</f>
        <v>0.1797752808988764</v>
      </c>
    </row>
    <row r="5" spans="1:84">
      <c r="A5" s="8" t="s">
        <v>46</v>
      </c>
      <c r="F5" s="9">
        <v>2</v>
      </c>
      <c r="G5" s="10">
        <f t="shared" ref="G5:G28" si="3">F5/231%</f>
        <v>0.86580086580086579</v>
      </c>
      <c r="J5" s="9">
        <v>1</v>
      </c>
      <c r="K5" s="10">
        <f t="shared" si="1"/>
        <v>0.3436426116838488</v>
      </c>
      <c r="L5" s="11"/>
      <c r="M5" s="10"/>
      <c r="O5" s="10"/>
      <c r="P5" s="11"/>
      <c r="Q5" s="10"/>
      <c r="R5" s="11">
        <v>1</v>
      </c>
      <c r="S5" s="10">
        <f>R5/109%</f>
        <v>0.9174311926605504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0"/>
      <c r="AF5" s="11"/>
      <c r="AG5" s="10"/>
      <c r="AH5" s="11"/>
      <c r="AI5" s="10"/>
      <c r="AJ5" s="11"/>
      <c r="AK5" s="10"/>
      <c r="AL5" s="11"/>
      <c r="AM5" s="10"/>
      <c r="AN5" s="11"/>
      <c r="AO5" s="10"/>
      <c r="AP5" s="10"/>
      <c r="AQ5" s="10"/>
      <c r="AR5" s="10"/>
      <c r="AS5" s="10"/>
      <c r="AT5" s="10"/>
      <c r="AU5" s="10"/>
      <c r="AV5" s="11"/>
      <c r="AW5" s="10"/>
      <c r="AX5" s="10"/>
      <c r="AY5" s="10"/>
      <c r="AZ5" s="11"/>
      <c r="BA5" s="10"/>
      <c r="BB5" s="11">
        <v>3</v>
      </c>
      <c r="BC5" s="10">
        <f>BB5/400%</f>
        <v>0.75</v>
      </c>
      <c r="BD5" s="10"/>
      <c r="BE5" s="10"/>
      <c r="BF5" s="11">
        <v>2</v>
      </c>
      <c r="BG5" s="10">
        <f>BF5/128%</f>
        <v>1.5625</v>
      </c>
      <c r="BH5" s="10"/>
      <c r="BI5" s="10"/>
      <c r="BJ5" s="11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W5" s="10"/>
      <c r="CE5" s="13">
        <f t="shared" si="0"/>
        <v>9</v>
      </c>
      <c r="CF5" s="14">
        <f t="shared" si="2"/>
        <v>0.4044943820224719</v>
      </c>
    </row>
    <row r="6" spans="1:84">
      <c r="A6" s="8" t="s">
        <v>47</v>
      </c>
      <c r="F6" s="9">
        <v>1</v>
      </c>
      <c r="G6" s="10">
        <f t="shared" si="3"/>
        <v>0.4329004329004329</v>
      </c>
      <c r="K6" s="10"/>
      <c r="L6" s="11"/>
      <c r="M6" s="10"/>
      <c r="O6" s="10"/>
      <c r="P6" s="11"/>
      <c r="Q6" s="10"/>
      <c r="R6" s="11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0"/>
      <c r="AQ6" s="10"/>
      <c r="AR6" s="10"/>
      <c r="AS6" s="10"/>
      <c r="AT6" s="10"/>
      <c r="AU6" s="10"/>
      <c r="AV6" s="11"/>
      <c r="AW6" s="10"/>
      <c r="AX6" s="10"/>
      <c r="AY6" s="10"/>
      <c r="AZ6" s="11"/>
      <c r="BA6" s="10"/>
      <c r="BB6" s="11"/>
      <c r="BC6" s="10"/>
      <c r="BD6" s="10"/>
      <c r="BE6" s="10"/>
      <c r="BF6" s="11"/>
      <c r="BG6" s="10"/>
      <c r="BH6" s="10"/>
      <c r="BI6" s="10"/>
      <c r="BJ6" s="11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W6" s="10"/>
      <c r="CE6" s="13">
        <f t="shared" si="0"/>
        <v>1</v>
      </c>
      <c r="CF6" s="14">
        <f t="shared" si="2"/>
        <v>4.49438202247191E-2</v>
      </c>
    </row>
    <row r="7" spans="1:84">
      <c r="A7" s="8" t="s">
        <v>48</v>
      </c>
      <c r="G7" s="10"/>
      <c r="H7" s="10"/>
      <c r="I7" s="10"/>
      <c r="J7" s="9">
        <v>2</v>
      </c>
      <c r="K7" s="10">
        <f t="shared" si="1"/>
        <v>0.6872852233676976</v>
      </c>
      <c r="L7" s="11"/>
      <c r="M7" s="10"/>
      <c r="O7" s="10"/>
      <c r="P7" s="11"/>
      <c r="Q7" s="10"/>
      <c r="R7" s="1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0"/>
      <c r="AF7" s="11"/>
      <c r="AG7" s="10"/>
      <c r="AH7" s="11"/>
      <c r="AI7" s="10"/>
      <c r="AJ7" s="11">
        <v>1</v>
      </c>
      <c r="AK7" s="10">
        <f t="shared" ref="AK7:AK28" si="4">AJ7/57%</f>
        <v>1.7543859649122808</v>
      </c>
      <c r="AL7" s="11">
        <v>1</v>
      </c>
      <c r="AM7" s="10">
        <f>AL7/19%</f>
        <v>5.2631578947368425</v>
      </c>
      <c r="AN7" s="11"/>
      <c r="AO7" s="10"/>
      <c r="AP7" s="10"/>
      <c r="AQ7" s="10"/>
      <c r="AR7" s="10"/>
      <c r="AS7" s="10"/>
      <c r="AT7" s="10"/>
      <c r="AU7" s="10"/>
      <c r="AV7" s="11"/>
      <c r="AW7" s="10"/>
      <c r="AX7" s="10"/>
      <c r="AY7" s="10"/>
      <c r="AZ7" s="11"/>
      <c r="BA7" s="10"/>
      <c r="BB7" s="11"/>
      <c r="BC7" s="10"/>
      <c r="BD7" s="10"/>
      <c r="BE7" s="10"/>
      <c r="BF7" s="11"/>
      <c r="BG7" s="10"/>
      <c r="BH7" s="10"/>
      <c r="BI7" s="10"/>
      <c r="BJ7" s="11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W7" s="10"/>
      <c r="CE7" s="13">
        <f t="shared" si="0"/>
        <v>4</v>
      </c>
      <c r="CF7" s="14">
        <f t="shared" si="2"/>
        <v>0.1797752808988764</v>
      </c>
    </row>
    <row r="8" spans="1:84" s="15" customFormat="1">
      <c r="A8" s="15" t="s">
        <v>49</v>
      </c>
      <c r="B8" s="12"/>
      <c r="C8" s="12"/>
      <c r="D8" s="16">
        <v>1</v>
      </c>
      <c r="E8" s="17">
        <f>D8/58%</f>
        <v>1.7241379310344829</v>
      </c>
      <c r="F8" s="12">
        <v>1</v>
      </c>
      <c r="G8" s="17">
        <f t="shared" si="3"/>
        <v>0.4329004329004329</v>
      </c>
      <c r="H8" s="17"/>
      <c r="I8" s="17"/>
      <c r="J8" s="12">
        <v>3</v>
      </c>
      <c r="K8" s="17">
        <f t="shared" si="1"/>
        <v>1.0309278350515463</v>
      </c>
      <c r="L8" s="16"/>
      <c r="M8" s="17"/>
      <c r="N8" s="12">
        <v>1</v>
      </c>
      <c r="O8" s="17">
        <f t="shared" ref="O8:O28" si="5">N8/114%</f>
        <v>0.87719298245614041</v>
      </c>
      <c r="P8" s="16"/>
      <c r="Q8" s="17"/>
      <c r="R8" s="16">
        <v>2</v>
      </c>
      <c r="S8" s="17">
        <f t="shared" ref="S8:S28" si="6">R8/109%</f>
        <v>1.8348623853211008</v>
      </c>
      <c r="T8" s="17"/>
      <c r="U8" s="17"/>
      <c r="V8" s="12">
        <v>1</v>
      </c>
      <c r="W8" s="17">
        <f>V8/88%</f>
        <v>1.1363636363636365</v>
      </c>
      <c r="X8" s="17"/>
      <c r="Y8" s="17"/>
      <c r="Z8" s="17"/>
      <c r="AA8" s="17"/>
      <c r="AB8" s="17"/>
      <c r="AC8" s="17"/>
      <c r="AD8" s="16">
        <v>7</v>
      </c>
      <c r="AE8" s="17">
        <f>AD8/67%</f>
        <v>10.44776119402985</v>
      </c>
      <c r="AF8" s="16"/>
      <c r="AG8" s="17"/>
      <c r="AH8" s="16">
        <v>2</v>
      </c>
      <c r="AI8" s="17">
        <f>AH8/20%</f>
        <v>10</v>
      </c>
      <c r="AJ8" s="16">
        <v>2</v>
      </c>
      <c r="AK8" s="17">
        <f t="shared" si="4"/>
        <v>3.5087719298245617</v>
      </c>
      <c r="AL8" s="16">
        <v>1</v>
      </c>
      <c r="AM8" s="17">
        <f>AL8/19%</f>
        <v>5.2631578947368425</v>
      </c>
      <c r="AN8" s="16"/>
      <c r="AO8" s="17"/>
      <c r="AP8" s="17"/>
      <c r="AQ8" s="17"/>
      <c r="AR8" s="17"/>
      <c r="AS8" s="17"/>
      <c r="AT8" s="17"/>
      <c r="AU8" s="17"/>
      <c r="AV8" s="16">
        <v>1</v>
      </c>
      <c r="AW8" s="17">
        <f t="shared" ref="AW8:AW28" si="7">AV8/18%</f>
        <v>5.5555555555555554</v>
      </c>
      <c r="AX8" s="17"/>
      <c r="AY8" s="17"/>
      <c r="AZ8" s="16">
        <v>3</v>
      </c>
      <c r="BA8" s="17">
        <f t="shared" ref="BA8:BA28" si="8">AZ8/172%</f>
        <v>1.7441860465116279</v>
      </c>
      <c r="BB8" s="16">
        <v>4</v>
      </c>
      <c r="BC8" s="17">
        <f t="shared" ref="BC8:BC28" si="9">BB8/400%</f>
        <v>1</v>
      </c>
      <c r="BD8" s="17"/>
      <c r="BE8" s="17"/>
      <c r="BF8" s="16">
        <v>4</v>
      </c>
      <c r="BG8" s="17">
        <f t="shared" ref="BG8:BG28" si="10">BF8/128%</f>
        <v>3.125</v>
      </c>
      <c r="BH8" s="17"/>
      <c r="BI8" s="17"/>
      <c r="BJ8" s="16"/>
      <c r="BK8" s="17"/>
      <c r="BL8" s="17"/>
      <c r="BM8" s="17"/>
      <c r="BN8" s="17"/>
      <c r="BO8" s="17"/>
      <c r="BP8" s="16">
        <v>1</v>
      </c>
      <c r="BQ8" s="17">
        <f>BP8/16%</f>
        <v>6.25</v>
      </c>
      <c r="BR8" s="16">
        <v>2</v>
      </c>
      <c r="BS8" s="17">
        <f>BR8/33%</f>
        <v>6.0606060606060606</v>
      </c>
      <c r="BT8" s="17"/>
      <c r="BU8" s="17"/>
      <c r="BV8" s="12"/>
      <c r="BW8" s="17"/>
      <c r="BX8" s="15">
        <v>1</v>
      </c>
      <c r="BY8" s="15">
        <f>(ROUND((BX8/BX29)*100,1))</f>
        <v>5.9</v>
      </c>
      <c r="CE8" s="18">
        <f t="shared" si="0"/>
        <v>36</v>
      </c>
      <c r="CF8" s="19">
        <f t="shared" si="2"/>
        <v>1.6179775280898876</v>
      </c>
    </row>
    <row r="9" spans="1:84" s="15" customFormat="1">
      <c r="A9" s="20" t="s">
        <v>50</v>
      </c>
      <c r="B9" s="12"/>
      <c r="C9" s="12"/>
      <c r="D9" s="16"/>
      <c r="E9" s="17"/>
      <c r="F9" s="12"/>
      <c r="G9" s="17"/>
      <c r="H9" s="12"/>
      <c r="I9" s="12"/>
      <c r="J9" s="12"/>
      <c r="K9" s="17"/>
      <c r="L9" s="16"/>
      <c r="M9" s="17"/>
      <c r="N9" s="12">
        <v>1</v>
      </c>
      <c r="O9" s="17">
        <f t="shared" si="5"/>
        <v>0.87719298245614041</v>
      </c>
      <c r="P9" s="16"/>
      <c r="Q9" s="17"/>
      <c r="R9" s="16"/>
      <c r="S9" s="17"/>
      <c r="T9" s="17"/>
      <c r="U9" s="17"/>
      <c r="V9" s="12"/>
      <c r="W9" s="17"/>
      <c r="X9" s="17"/>
      <c r="Y9" s="17"/>
      <c r="Z9" s="17"/>
      <c r="AA9" s="17"/>
      <c r="AB9" s="17"/>
      <c r="AC9" s="17"/>
      <c r="AD9" s="16"/>
      <c r="AE9" s="17"/>
      <c r="AF9" s="16"/>
      <c r="AG9" s="17"/>
      <c r="AH9" s="16"/>
      <c r="AI9" s="17"/>
      <c r="AJ9" s="16"/>
      <c r="AK9" s="17"/>
      <c r="AL9" s="16"/>
      <c r="AM9" s="17"/>
      <c r="AN9" s="16"/>
      <c r="AO9" s="17"/>
      <c r="AP9" s="17"/>
      <c r="AQ9" s="17"/>
      <c r="AR9" s="17"/>
      <c r="AS9" s="17"/>
      <c r="AT9" s="17"/>
      <c r="AU9" s="17"/>
      <c r="AV9" s="16"/>
      <c r="AW9" s="17"/>
      <c r="AX9" s="17"/>
      <c r="AY9" s="17"/>
      <c r="AZ9" s="16"/>
      <c r="BA9" s="12"/>
      <c r="BB9" s="16"/>
      <c r="BC9" s="17"/>
      <c r="BD9" s="17"/>
      <c r="BE9" s="17"/>
      <c r="BF9" s="16"/>
      <c r="BG9" s="17"/>
      <c r="BH9" s="17"/>
      <c r="BI9" s="17"/>
      <c r="BJ9" s="16"/>
      <c r="BK9" s="17"/>
      <c r="BL9" s="17"/>
      <c r="BM9" s="17"/>
      <c r="BN9" s="16">
        <v>1</v>
      </c>
      <c r="BO9" s="17">
        <f>BN9/9%</f>
        <v>11.111111111111111</v>
      </c>
      <c r="BP9" s="16"/>
      <c r="BQ9" s="17"/>
      <c r="BR9" s="16"/>
      <c r="BS9" s="17"/>
      <c r="BT9" s="17"/>
      <c r="BU9" s="17"/>
      <c r="BV9" s="12"/>
      <c r="BW9" s="17"/>
      <c r="CE9" s="18">
        <f t="shared" si="0"/>
        <v>2</v>
      </c>
      <c r="CF9" s="19">
        <f t="shared" si="2"/>
        <v>8.98876404494382E-2</v>
      </c>
    </row>
    <row r="10" spans="1:84" s="15" customFormat="1">
      <c r="A10" s="20" t="s">
        <v>51</v>
      </c>
      <c r="B10" s="12"/>
      <c r="C10" s="12"/>
      <c r="D10" s="16"/>
      <c r="E10" s="17"/>
      <c r="F10" s="12"/>
      <c r="G10" s="17"/>
      <c r="H10" s="12"/>
      <c r="I10" s="12"/>
      <c r="J10" s="12"/>
      <c r="K10" s="17"/>
      <c r="L10" s="16"/>
      <c r="M10" s="17"/>
      <c r="N10" s="12"/>
      <c r="O10" s="17"/>
      <c r="P10" s="16"/>
      <c r="Q10" s="17"/>
      <c r="R10" s="16"/>
      <c r="S10" s="17"/>
      <c r="T10" s="17"/>
      <c r="U10" s="17"/>
      <c r="V10" s="12"/>
      <c r="W10" s="17"/>
      <c r="X10" s="17"/>
      <c r="Y10" s="17"/>
      <c r="Z10" s="17"/>
      <c r="AA10" s="17"/>
      <c r="AB10" s="17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  <c r="AN10" s="16">
        <v>1</v>
      </c>
      <c r="AO10" s="17">
        <f>AN10/51%</f>
        <v>1.9607843137254901</v>
      </c>
      <c r="AP10" s="17"/>
      <c r="AQ10" s="17"/>
      <c r="AR10" s="17"/>
      <c r="AS10" s="17"/>
      <c r="AT10" s="17"/>
      <c r="AU10" s="17"/>
      <c r="AV10" s="16"/>
      <c r="AW10" s="17"/>
      <c r="AX10" s="17"/>
      <c r="AY10" s="17"/>
      <c r="AZ10" s="16"/>
      <c r="BA10" s="12"/>
      <c r="BB10" s="16"/>
      <c r="BC10" s="17"/>
      <c r="BD10" s="17"/>
      <c r="BE10" s="17"/>
      <c r="BF10" s="16"/>
      <c r="BG10" s="17"/>
      <c r="BH10" s="17"/>
      <c r="BI10" s="17"/>
      <c r="BJ10" s="16"/>
      <c r="BK10" s="17"/>
      <c r="BL10" s="17"/>
      <c r="BM10" s="17"/>
      <c r="BN10" s="16"/>
      <c r="BO10" s="17"/>
      <c r="BP10" s="16"/>
      <c r="BQ10" s="17"/>
      <c r="BR10" s="16"/>
      <c r="BS10" s="17"/>
      <c r="BT10" s="17"/>
      <c r="BU10" s="17"/>
      <c r="BV10" s="12"/>
      <c r="BW10" s="17"/>
      <c r="CE10" s="18">
        <f t="shared" si="0"/>
        <v>1</v>
      </c>
      <c r="CF10" s="19">
        <f t="shared" si="2"/>
        <v>4.49438202247191E-2</v>
      </c>
    </row>
    <row r="11" spans="1:84" s="15" customFormat="1">
      <c r="A11" s="20" t="s">
        <v>52</v>
      </c>
      <c r="B11" s="12"/>
      <c r="C11" s="12"/>
      <c r="D11" s="16"/>
      <c r="E11" s="17"/>
      <c r="F11" s="12"/>
      <c r="G11" s="17"/>
      <c r="H11" s="12"/>
      <c r="I11" s="12"/>
      <c r="J11" s="12"/>
      <c r="K11" s="17"/>
      <c r="L11" s="16"/>
      <c r="M11" s="17"/>
      <c r="N11" s="12"/>
      <c r="O11" s="17"/>
      <c r="P11" s="16"/>
      <c r="Q11" s="17"/>
      <c r="R11" s="16"/>
      <c r="S11" s="17"/>
      <c r="T11" s="17"/>
      <c r="U11" s="17"/>
      <c r="V11" s="12"/>
      <c r="W11" s="17"/>
      <c r="X11" s="17"/>
      <c r="Y11" s="17"/>
      <c r="Z11" s="17"/>
      <c r="AA11" s="17"/>
      <c r="AB11" s="16"/>
      <c r="AC11" s="17"/>
      <c r="AD11" s="16">
        <v>1</v>
      </c>
      <c r="AE11" s="17">
        <f t="shared" ref="AE11:AE28" si="11">AD11/67%</f>
        <v>1.4925373134328357</v>
      </c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7"/>
      <c r="AQ11" s="17"/>
      <c r="AR11" s="17"/>
      <c r="AS11" s="17"/>
      <c r="AT11" s="17"/>
      <c r="AU11" s="17"/>
      <c r="AV11" s="16"/>
      <c r="AW11" s="17"/>
      <c r="AX11" s="17"/>
      <c r="AY11" s="17"/>
      <c r="AZ11" s="16"/>
      <c r="BA11" s="17"/>
      <c r="BB11" s="16"/>
      <c r="BC11" s="17"/>
      <c r="BD11" s="17"/>
      <c r="BE11" s="17"/>
      <c r="BF11" s="16"/>
      <c r="BG11" s="17"/>
      <c r="BH11" s="17"/>
      <c r="BI11" s="17"/>
      <c r="BJ11" s="16"/>
      <c r="BK11" s="17"/>
      <c r="BL11" s="17"/>
      <c r="BM11" s="17"/>
      <c r="BN11" s="16"/>
      <c r="BO11" s="17"/>
      <c r="BP11" s="16"/>
      <c r="BQ11" s="17"/>
      <c r="BR11" s="16"/>
      <c r="BS11" s="17"/>
      <c r="BT11" s="17"/>
      <c r="BU11" s="17"/>
      <c r="BV11" s="12"/>
      <c r="BW11" s="17"/>
      <c r="CE11" s="18">
        <f t="shared" si="0"/>
        <v>1</v>
      </c>
      <c r="CF11" s="19">
        <f t="shared" si="2"/>
        <v>4.49438202247191E-2</v>
      </c>
    </row>
    <row r="12" spans="1:84" s="15" customFormat="1">
      <c r="A12" s="20" t="s">
        <v>53</v>
      </c>
      <c r="B12" s="12"/>
      <c r="C12" s="12"/>
      <c r="D12" s="16"/>
      <c r="E12" s="17"/>
      <c r="F12" s="12"/>
      <c r="G12" s="17"/>
      <c r="H12" s="12"/>
      <c r="I12" s="12"/>
      <c r="J12" s="12"/>
      <c r="K12" s="17"/>
      <c r="L12" s="16"/>
      <c r="M12" s="17"/>
      <c r="N12" s="12"/>
      <c r="O12" s="17"/>
      <c r="P12" s="16"/>
      <c r="Q12" s="17"/>
      <c r="R12" s="16"/>
      <c r="S12" s="17"/>
      <c r="T12" s="17"/>
      <c r="U12" s="17"/>
      <c r="V12" s="12"/>
      <c r="W12" s="17"/>
      <c r="X12" s="17"/>
      <c r="Y12" s="17"/>
      <c r="Z12" s="17"/>
      <c r="AA12" s="17"/>
      <c r="AB12" s="16"/>
      <c r="AC12" s="17"/>
      <c r="AD12" s="16">
        <v>1</v>
      </c>
      <c r="AE12" s="17">
        <f t="shared" si="11"/>
        <v>1.4925373134328357</v>
      </c>
      <c r="AF12" s="16"/>
      <c r="AG12" s="17"/>
      <c r="AH12" s="16"/>
      <c r="AI12" s="17"/>
      <c r="AJ12" s="16"/>
      <c r="AK12" s="17"/>
      <c r="AL12" s="16"/>
      <c r="AM12" s="17"/>
      <c r="AN12" s="16"/>
      <c r="AO12" s="17"/>
      <c r="AP12" s="17"/>
      <c r="AQ12" s="17"/>
      <c r="AR12" s="17"/>
      <c r="AS12" s="17"/>
      <c r="AT12" s="17"/>
      <c r="AU12" s="17"/>
      <c r="AV12" s="16"/>
      <c r="AW12" s="17"/>
      <c r="AX12" s="17"/>
      <c r="AY12" s="17"/>
      <c r="AZ12" s="16"/>
      <c r="BA12" s="17"/>
      <c r="BB12" s="16"/>
      <c r="BC12" s="17"/>
      <c r="BD12" s="17"/>
      <c r="BE12" s="17"/>
      <c r="BF12" s="16"/>
      <c r="BG12" s="17"/>
      <c r="BH12" s="17"/>
      <c r="BI12" s="17"/>
      <c r="BJ12" s="16"/>
      <c r="BK12" s="17"/>
      <c r="BL12" s="17"/>
      <c r="BM12" s="17"/>
      <c r="BN12" s="16"/>
      <c r="BO12" s="17"/>
      <c r="BP12" s="16"/>
      <c r="BQ12" s="17"/>
      <c r="BR12" s="16"/>
      <c r="BS12" s="17"/>
      <c r="BT12" s="17"/>
      <c r="BU12" s="17"/>
      <c r="BV12" s="12"/>
      <c r="BW12" s="17"/>
      <c r="CE12" s="18">
        <f t="shared" si="0"/>
        <v>1</v>
      </c>
      <c r="CF12" s="19">
        <f t="shared" si="2"/>
        <v>4.49438202247191E-2</v>
      </c>
    </row>
    <row r="13" spans="1:84" s="15" customFormat="1">
      <c r="A13" s="20" t="s">
        <v>54</v>
      </c>
      <c r="B13" s="12"/>
      <c r="C13" s="12"/>
      <c r="D13" s="16"/>
      <c r="E13" s="17"/>
      <c r="F13" s="12">
        <v>3</v>
      </c>
      <c r="G13" s="17">
        <f t="shared" si="3"/>
        <v>1.2987012987012987</v>
      </c>
      <c r="H13" s="12"/>
      <c r="I13" s="12"/>
      <c r="J13" s="12"/>
      <c r="K13" s="17"/>
      <c r="L13" s="16"/>
      <c r="M13" s="17"/>
      <c r="N13" s="12"/>
      <c r="O13" s="17"/>
      <c r="P13" s="16">
        <v>1</v>
      </c>
      <c r="Q13" s="17">
        <f t="shared" ref="Q13:Q28" si="12">P13/32%</f>
        <v>3.125</v>
      </c>
      <c r="R13" s="16"/>
      <c r="S13" s="17"/>
      <c r="T13" s="17"/>
      <c r="U13" s="17"/>
      <c r="V13" s="12">
        <v>2</v>
      </c>
      <c r="W13" s="17">
        <f t="shared" ref="W13:W28" si="13">V13/88%</f>
        <v>2.2727272727272729</v>
      </c>
      <c r="X13" s="17"/>
      <c r="Y13" s="17"/>
      <c r="Z13" s="17"/>
      <c r="AA13" s="17"/>
      <c r="AB13" s="16">
        <v>3</v>
      </c>
      <c r="AC13" s="17">
        <f>AB13/13%</f>
        <v>23.076923076923077</v>
      </c>
      <c r="AD13" s="16">
        <v>6</v>
      </c>
      <c r="AE13" s="17">
        <f t="shared" si="11"/>
        <v>8.9552238805970141</v>
      </c>
      <c r="AF13" s="16"/>
      <c r="AG13" s="17"/>
      <c r="AH13" s="16"/>
      <c r="AI13" s="17"/>
      <c r="AJ13" s="16"/>
      <c r="AK13" s="17"/>
      <c r="AL13" s="16"/>
      <c r="AM13" s="17"/>
      <c r="AN13" s="16"/>
      <c r="AO13" s="17"/>
      <c r="AP13" s="17"/>
      <c r="AQ13" s="17"/>
      <c r="AR13" s="17"/>
      <c r="AS13" s="17"/>
      <c r="AT13" s="17"/>
      <c r="AU13" s="17"/>
      <c r="AV13" s="16"/>
      <c r="AW13" s="17"/>
      <c r="AX13" s="17"/>
      <c r="AY13" s="17"/>
      <c r="AZ13" s="16">
        <v>1</v>
      </c>
      <c r="BA13" s="17">
        <f t="shared" si="8"/>
        <v>0.58139534883720934</v>
      </c>
      <c r="BB13" s="16">
        <v>5</v>
      </c>
      <c r="BC13" s="17">
        <f t="shared" si="9"/>
        <v>1.25</v>
      </c>
      <c r="BD13" s="17"/>
      <c r="BE13" s="17"/>
      <c r="BF13" s="16">
        <v>3</v>
      </c>
      <c r="BG13" s="17">
        <f t="shared" si="10"/>
        <v>2.34375</v>
      </c>
      <c r="BH13" s="17"/>
      <c r="BI13" s="17"/>
      <c r="BJ13" s="16"/>
      <c r="BK13" s="17"/>
      <c r="BL13" s="17"/>
      <c r="BM13" s="17"/>
      <c r="BN13" s="16"/>
      <c r="BO13" s="17"/>
      <c r="BP13" s="16">
        <v>1</v>
      </c>
      <c r="BQ13" s="17">
        <f t="shared" ref="BQ13:BQ28" si="14">BP13/16%</f>
        <v>6.25</v>
      </c>
      <c r="BR13" s="16"/>
      <c r="BS13" s="17"/>
      <c r="BT13" s="17"/>
      <c r="BU13" s="17"/>
      <c r="BV13" s="12"/>
      <c r="BW13" s="17"/>
      <c r="BX13" s="15">
        <v>1</v>
      </c>
      <c r="BY13" s="15">
        <f>(ROUND((BX13/BX29)*100,1))</f>
        <v>5.9</v>
      </c>
      <c r="CE13" s="18">
        <f t="shared" si="0"/>
        <v>25</v>
      </c>
      <c r="CF13" s="19">
        <f t="shared" si="2"/>
        <v>1.1235955056179776</v>
      </c>
    </row>
    <row r="14" spans="1:84">
      <c r="A14" s="8" t="s">
        <v>55</v>
      </c>
      <c r="D14" s="11"/>
      <c r="E14" s="10"/>
      <c r="F14" s="9">
        <v>13</v>
      </c>
      <c r="G14" s="10">
        <f t="shared" si="3"/>
        <v>5.6277056277056277</v>
      </c>
      <c r="J14" s="9">
        <v>2</v>
      </c>
      <c r="K14" s="10">
        <f t="shared" si="1"/>
        <v>0.6872852233676976</v>
      </c>
      <c r="L14" s="11">
        <v>6</v>
      </c>
      <c r="M14" s="10">
        <f t="shared" ref="M14:M28" si="15">L14/135%</f>
        <v>4.4444444444444438</v>
      </c>
      <c r="N14" s="9">
        <v>2</v>
      </c>
      <c r="O14" s="10">
        <f t="shared" si="5"/>
        <v>1.7543859649122808</v>
      </c>
      <c r="P14" s="11"/>
      <c r="Q14" s="10"/>
      <c r="R14" s="11">
        <v>2</v>
      </c>
      <c r="S14" s="10">
        <f t="shared" si="6"/>
        <v>1.8348623853211008</v>
      </c>
      <c r="T14" s="10"/>
      <c r="U14" s="10"/>
      <c r="V14" s="9">
        <v>3</v>
      </c>
      <c r="W14" s="10">
        <f t="shared" si="13"/>
        <v>3.4090909090909092</v>
      </c>
      <c r="X14" s="10"/>
      <c r="Y14" s="10"/>
      <c r="Z14" s="10"/>
      <c r="AA14" s="10"/>
      <c r="AB14" s="11"/>
      <c r="AC14" s="10"/>
      <c r="AD14" s="11"/>
      <c r="AE14" s="10"/>
      <c r="AF14" s="11">
        <v>1</v>
      </c>
      <c r="AG14" s="10">
        <f>AF14/44%</f>
        <v>2.2727272727272729</v>
      </c>
      <c r="AH14" s="11">
        <v>2</v>
      </c>
      <c r="AI14" s="10">
        <f>AH14/20%</f>
        <v>10</v>
      </c>
      <c r="AJ14" s="11"/>
      <c r="AK14" s="10"/>
      <c r="AL14" s="11"/>
      <c r="AM14" s="10"/>
      <c r="AN14" s="11">
        <v>5</v>
      </c>
      <c r="AO14" s="10">
        <f>AN14/51%</f>
        <v>9.8039215686274517</v>
      </c>
      <c r="AP14" s="10"/>
      <c r="AQ14" s="10"/>
      <c r="AR14" s="10"/>
      <c r="AS14" s="10"/>
      <c r="AT14" s="10"/>
      <c r="AU14" s="10"/>
      <c r="AV14" s="11"/>
      <c r="AW14" s="10"/>
      <c r="AX14" s="10"/>
      <c r="AY14" s="10"/>
      <c r="AZ14" s="11">
        <v>2</v>
      </c>
      <c r="BA14" s="10">
        <f t="shared" si="8"/>
        <v>1.1627906976744187</v>
      </c>
      <c r="BB14" s="11">
        <v>2</v>
      </c>
      <c r="BC14" s="10">
        <f t="shared" si="9"/>
        <v>0.5</v>
      </c>
      <c r="BD14" s="10"/>
      <c r="BE14" s="10"/>
      <c r="BF14" s="11"/>
      <c r="BG14" s="10"/>
      <c r="BH14" s="10"/>
      <c r="BI14" s="10"/>
      <c r="BJ14" s="11">
        <v>1</v>
      </c>
      <c r="BK14" s="10">
        <f t="shared" ref="BK14:BK28" si="16">BJ14/17%</f>
        <v>5.8823529411764701</v>
      </c>
      <c r="BL14" s="10"/>
      <c r="BM14" s="10"/>
      <c r="BN14" s="11"/>
      <c r="BO14" s="10"/>
      <c r="BP14" s="11"/>
      <c r="BQ14" s="10"/>
      <c r="BR14" s="11"/>
      <c r="BS14" s="10"/>
      <c r="BT14" s="10"/>
      <c r="BU14" s="10"/>
      <c r="BW14" s="10"/>
      <c r="CE14" s="13">
        <f t="shared" si="0"/>
        <v>41</v>
      </c>
      <c r="CF14" s="14">
        <f t="shared" si="2"/>
        <v>1.8426966292134832</v>
      </c>
    </row>
    <row r="15" spans="1:84">
      <c r="A15" s="21" t="s">
        <v>56</v>
      </c>
      <c r="D15" s="11"/>
      <c r="E15" s="10"/>
      <c r="F15" s="9">
        <v>1</v>
      </c>
      <c r="G15" s="10">
        <f t="shared" si="3"/>
        <v>0.4329004329004329</v>
      </c>
      <c r="K15" s="10"/>
      <c r="L15" s="11">
        <v>1</v>
      </c>
      <c r="M15" s="10">
        <f t="shared" si="15"/>
        <v>0.7407407407407407</v>
      </c>
      <c r="O15" s="10"/>
      <c r="P15" s="11"/>
      <c r="Q15" s="10"/>
      <c r="R15" s="11"/>
      <c r="S15" s="10"/>
      <c r="T15" s="10"/>
      <c r="U15" s="10"/>
      <c r="W15" s="10"/>
      <c r="X15" s="10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0"/>
      <c r="AQ15" s="10"/>
      <c r="AR15" s="10"/>
      <c r="AS15" s="10"/>
      <c r="AT15" s="10"/>
      <c r="AU15" s="10"/>
      <c r="AV15" s="11"/>
      <c r="AW15" s="10"/>
      <c r="AX15" s="10"/>
      <c r="AY15" s="10"/>
      <c r="AZ15" s="11"/>
      <c r="BA15" s="10"/>
      <c r="BB15" s="11">
        <v>3</v>
      </c>
      <c r="BC15" s="10">
        <f t="shared" si="9"/>
        <v>0.75</v>
      </c>
      <c r="BD15" s="10"/>
      <c r="BE15" s="10"/>
      <c r="BF15" s="11">
        <v>1</v>
      </c>
      <c r="BG15" s="10">
        <f t="shared" si="10"/>
        <v>0.78125</v>
      </c>
      <c r="BH15" s="10"/>
      <c r="BI15" s="10"/>
      <c r="BJ15" s="11"/>
      <c r="BK15" s="10"/>
      <c r="BL15" s="10"/>
      <c r="BM15" s="10"/>
      <c r="BN15" s="11"/>
      <c r="BO15" s="10"/>
      <c r="BP15" s="11"/>
      <c r="BQ15" s="10"/>
      <c r="BR15" s="11"/>
      <c r="BS15" s="10"/>
      <c r="BT15" s="10"/>
      <c r="BU15" s="10"/>
      <c r="BW15" s="10"/>
      <c r="CB15" s="8">
        <v>4</v>
      </c>
      <c r="CC15" s="15">
        <f>(ROUND((CB15/CB29)*100,1))</f>
        <v>8.9</v>
      </c>
      <c r="CE15" s="13">
        <f t="shared" si="0"/>
        <v>6</v>
      </c>
      <c r="CF15" s="14">
        <f t="shared" si="2"/>
        <v>0.2696629213483146</v>
      </c>
    </row>
    <row r="16" spans="1:84">
      <c r="A16" s="21" t="s">
        <v>57</v>
      </c>
      <c r="D16" s="11"/>
      <c r="E16" s="10"/>
      <c r="G16" s="10"/>
      <c r="J16" s="9">
        <v>2</v>
      </c>
      <c r="K16" s="10">
        <f t="shared" si="1"/>
        <v>0.6872852233676976</v>
      </c>
      <c r="L16" s="11"/>
      <c r="M16" s="10"/>
      <c r="O16" s="10"/>
      <c r="P16" s="11"/>
      <c r="Q16" s="10"/>
      <c r="R16" s="11"/>
      <c r="S16" s="10"/>
      <c r="T16" s="10"/>
      <c r="U16" s="10"/>
      <c r="W16" s="10"/>
      <c r="X16" s="10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0"/>
      <c r="AQ16" s="10"/>
      <c r="AR16" s="10"/>
      <c r="AS16" s="10"/>
      <c r="AT16" s="10"/>
      <c r="AU16" s="10"/>
      <c r="AV16" s="11"/>
      <c r="AW16" s="10"/>
      <c r="AX16" s="10"/>
      <c r="AY16" s="10"/>
      <c r="AZ16" s="11"/>
      <c r="BA16" s="10"/>
      <c r="BB16" s="11"/>
      <c r="BC16" s="10"/>
      <c r="BD16" s="10"/>
      <c r="BE16" s="10"/>
      <c r="BF16" s="11"/>
      <c r="BG16" s="10"/>
      <c r="BH16" s="10"/>
      <c r="BI16" s="10"/>
      <c r="BJ16" s="11"/>
      <c r="BK16" s="10"/>
      <c r="BL16" s="10"/>
      <c r="BM16" s="10"/>
      <c r="BN16" s="11"/>
      <c r="BO16" s="10"/>
      <c r="BP16" s="11"/>
      <c r="BQ16" s="10"/>
      <c r="BR16" s="11"/>
      <c r="BS16" s="10"/>
      <c r="BT16" s="10"/>
      <c r="BU16" s="10"/>
      <c r="BW16" s="10"/>
      <c r="CE16" s="13">
        <f t="shared" si="0"/>
        <v>2</v>
      </c>
      <c r="CF16" s="14">
        <f t="shared" si="2"/>
        <v>8.98876404494382E-2</v>
      </c>
    </row>
    <row r="17" spans="1:84">
      <c r="A17" s="21" t="s">
        <v>58</v>
      </c>
      <c r="D17" s="11"/>
      <c r="E17" s="10"/>
      <c r="F17" s="9">
        <v>1</v>
      </c>
      <c r="G17" s="10">
        <f t="shared" si="3"/>
        <v>0.4329004329004329</v>
      </c>
      <c r="J17" s="9">
        <v>24</v>
      </c>
      <c r="K17" s="10">
        <f t="shared" si="1"/>
        <v>8.2474226804123703</v>
      </c>
      <c r="L17" s="11"/>
      <c r="M17" s="10"/>
      <c r="N17" s="9">
        <v>2</v>
      </c>
      <c r="O17" s="10">
        <f t="shared" si="5"/>
        <v>1.7543859649122808</v>
      </c>
      <c r="P17" s="11"/>
      <c r="Q17" s="10"/>
      <c r="R17" s="11">
        <v>1</v>
      </c>
      <c r="S17" s="10">
        <f t="shared" si="6"/>
        <v>0.9174311926605504</v>
      </c>
      <c r="T17" s="10"/>
      <c r="U17" s="10"/>
      <c r="W17" s="10"/>
      <c r="X17" s="11">
        <v>1</v>
      </c>
      <c r="Y17" s="10">
        <f>X17/11%</f>
        <v>9.0909090909090917</v>
      </c>
      <c r="Z17" s="11"/>
      <c r="AA17" s="10"/>
      <c r="AB17" s="11"/>
      <c r="AC17" s="10"/>
      <c r="AD17" s="11">
        <v>1</v>
      </c>
      <c r="AE17" s="10">
        <f t="shared" si="11"/>
        <v>1.4925373134328357</v>
      </c>
      <c r="AF17" s="11">
        <v>1</v>
      </c>
      <c r="AG17" s="10">
        <f>AF17/44%</f>
        <v>2.2727272727272729</v>
      </c>
      <c r="AH17" s="11"/>
      <c r="AI17" s="10"/>
      <c r="AJ17" s="11"/>
      <c r="AK17" s="10"/>
      <c r="AL17" s="11"/>
      <c r="AM17" s="10"/>
      <c r="AN17" s="11"/>
      <c r="AO17" s="10"/>
      <c r="AP17" s="10"/>
      <c r="AQ17" s="10"/>
      <c r="AR17" s="10"/>
      <c r="AS17" s="10"/>
      <c r="AT17" s="10"/>
      <c r="AU17" s="10"/>
      <c r="AV17" s="11"/>
      <c r="AW17" s="10"/>
      <c r="AX17" s="10"/>
      <c r="AY17" s="10"/>
      <c r="AZ17" s="11">
        <v>2</v>
      </c>
      <c r="BA17" s="10">
        <f t="shared" si="8"/>
        <v>1.1627906976744187</v>
      </c>
      <c r="BB17" s="11">
        <v>1</v>
      </c>
      <c r="BC17" s="10">
        <f t="shared" si="9"/>
        <v>0.25</v>
      </c>
      <c r="BD17" s="10"/>
      <c r="BE17" s="10"/>
      <c r="BF17" s="11"/>
      <c r="BG17" s="10"/>
      <c r="BH17" s="10"/>
      <c r="BI17" s="10"/>
      <c r="BJ17" s="11"/>
      <c r="BK17" s="10"/>
      <c r="BL17" s="11">
        <v>1</v>
      </c>
      <c r="BM17" s="10">
        <f>BL17/17%</f>
        <v>5.8823529411764701</v>
      </c>
      <c r="BN17" s="11"/>
      <c r="BO17" s="10"/>
      <c r="BP17" s="11">
        <v>1</v>
      </c>
      <c r="BQ17" s="10">
        <f t="shared" si="14"/>
        <v>6.25</v>
      </c>
      <c r="BR17" s="11"/>
      <c r="BS17" s="10"/>
      <c r="BT17" s="10"/>
      <c r="BU17" s="10"/>
      <c r="BW17" s="10"/>
      <c r="CE17" s="13">
        <f t="shared" si="0"/>
        <v>36</v>
      </c>
      <c r="CF17" s="14">
        <f t="shared" si="2"/>
        <v>1.6179775280898876</v>
      </c>
    </row>
    <row r="18" spans="1:84">
      <c r="A18" s="21" t="s">
        <v>59</v>
      </c>
      <c r="B18" s="9">
        <v>1</v>
      </c>
      <c r="C18" s="10">
        <f>B18/33%</f>
        <v>3.0303030303030303</v>
      </c>
      <c r="D18" s="11"/>
      <c r="E18" s="10"/>
      <c r="F18" s="8"/>
      <c r="G18" s="10"/>
      <c r="K18" s="10"/>
      <c r="L18" s="11"/>
      <c r="M18" s="10"/>
      <c r="O18" s="10"/>
      <c r="P18" s="11"/>
      <c r="Q18" s="10"/>
      <c r="R18" s="11"/>
      <c r="S18" s="10"/>
      <c r="T18" s="10"/>
      <c r="U18" s="10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0"/>
      <c r="AQ18" s="10"/>
      <c r="AR18" s="10"/>
      <c r="AS18" s="10"/>
      <c r="AT18" s="10"/>
      <c r="AU18" s="10"/>
      <c r="AV18" s="11"/>
      <c r="AW18" s="10"/>
      <c r="AX18" s="10"/>
      <c r="AY18" s="10"/>
      <c r="AZ18" s="11"/>
      <c r="BA18" s="10"/>
      <c r="BB18" s="11"/>
      <c r="BC18" s="10"/>
      <c r="BD18" s="10"/>
      <c r="BE18" s="10"/>
      <c r="BF18" s="11"/>
      <c r="BG18" s="10"/>
      <c r="BH18" s="10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0"/>
      <c r="BU18" s="10"/>
      <c r="BW18" s="10"/>
      <c r="CE18" s="13">
        <f t="shared" si="0"/>
        <v>1</v>
      </c>
      <c r="CF18" s="14">
        <f t="shared" si="2"/>
        <v>4.49438202247191E-2</v>
      </c>
    </row>
    <row r="19" spans="1:84">
      <c r="A19" s="21" t="s">
        <v>60</v>
      </c>
      <c r="C19" s="10"/>
      <c r="D19" s="11"/>
      <c r="E19" s="10"/>
      <c r="F19" s="8"/>
      <c r="G19" s="10"/>
      <c r="K19" s="10"/>
      <c r="L19" s="11">
        <v>3</v>
      </c>
      <c r="M19" s="10">
        <f t="shared" si="15"/>
        <v>2.2222222222222219</v>
      </c>
      <c r="O19" s="10"/>
      <c r="P19" s="11"/>
      <c r="Q19" s="10"/>
      <c r="R19" s="11"/>
      <c r="S19" s="10"/>
      <c r="T19" s="10"/>
      <c r="U19" s="10"/>
      <c r="V19" s="9">
        <v>1</v>
      </c>
      <c r="W19" s="10">
        <f t="shared" si="13"/>
        <v>1.1363636363636365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0"/>
      <c r="AQ19" s="10"/>
      <c r="AR19" s="10"/>
      <c r="AS19" s="10"/>
      <c r="AT19" s="10"/>
      <c r="AU19" s="10"/>
      <c r="AV19" s="11"/>
      <c r="AW19" s="10"/>
      <c r="AX19" s="11"/>
      <c r="AY19" s="10"/>
      <c r="AZ19" s="11"/>
      <c r="BA19" s="10"/>
      <c r="BB19" s="11"/>
      <c r="BC19" s="10"/>
      <c r="BD19" s="10"/>
      <c r="BE19" s="10"/>
      <c r="BF19" s="11">
        <v>1</v>
      </c>
      <c r="BG19" s="10">
        <f t="shared" si="10"/>
        <v>0.78125</v>
      </c>
      <c r="BH19" s="10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0"/>
      <c r="BU19" s="10"/>
      <c r="BW19" s="10"/>
      <c r="CE19" s="13">
        <f t="shared" si="0"/>
        <v>5</v>
      </c>
      <c r="CF19" s="14">
        <f t="shared" si="2"/>
        <v>0.2247191011235955</v>
      </c>
    </row>
    <row r="20" spans="1:84">
      <c r="A20" s="21" t="s">
        <v>61</v>
      </c>
      <c r="B20" s="9">
        <v>3</v>
      </c>
      <c r="C20" s="10">
        <f t="shared" ref="C20:C28" si="17">B20/33%</f>
        <v>9.0909090909090899</v>
      </c>
      <c r="D20" s="11">
        <v>12</v>
      </c>
      <c r="E20" s="10">
        <f t="shared" ref="E20:E28" si="18">D20/58%</f>
        <v>20.689655172413794</v>
      </c>
      <c r="F20" s="9">
        <v>18</v>
      </c>
      <c r="G20" s="10">
        <f t="shared" si="3"/>
        <v>7.7922077922077921</v>
      </c>
      <c r="H20" s="10"/>
      <c r="I20" s="10"/>
      <c r="J20" s="9">
        <v>24</v>
      </c>
      <c r="K20" s="10">
        <f t="shared" si="1"/>
        <v>8.2474226804123703</v>
      </c>
      <c r="L20" s="11">
        <v>6</v>
      </c>
      <c r="M20" s="10">
        <f t="shared" si="15"/>
        <v>4.4444444444444438</v>
      </c>
      <c r="N20" s="9">
        <v>6</v>
      </c>
      <c r="O20" s="10">
        <f t="shared" si="5"/>
        <v>5.2631578947368425</v>
      </c>
      <c r="P20" s="11">
        <v>2</v>
      </c>
      <c r="Q20" s="10">
        <f t="shared" si="12"/>
        <v>6.25</v>
      </c>
      <c r="R20" s="11">
        <v>5</v>
      </c>
      <c r="S20" s="10">
        <f t="shared" si="6"/>
        <v>4.5871559633027523</v>
      </c>
      <c r="T20" s="10"/>
      <c r="U20" s="10"/>
      <c r="V20" s="9">
        <v>4</v>
      </c>
      <c r="W20" s="10">
        <f t="shared" si="13"/>
        <v>4.5454545454545459</v>
      </c>
      <c r="X20" s="11">
        <v>3</v>
      </c>
      <c r="Y20" s="10">
        <f t="shared" ref="Y20:Y28" si="19">X20/11%</f>
        <v>27.272727272727273</v>
      </c>
      <c r="Z20" s="11"/>
      <c r="AA20" s="10"/>
      <c r="AB20" s="11">
        <v>2</v>
      </c>
      <c r="AC20" s="10">
        <f t="shared" ref="AC20:AC28" si="20">AB20/13%</f>
        <v>15.384615384615383</v>
      </c>
      <c r="AD20" s="11">
        <v>13</v>
      </c>
      <c r="AE20" s="10">
        <f t="shared" si="11"/>
        <v>19.402985074626866</v>
      </c>
      <c r="AF20" s="11">
        <v>1</v>
      </c>
      <c r="AG20" s="10">
        <f>AF20/44%</f>
        <v>2.2727272727272729</v>
      </c>
      <c r="AH20" s="11">
        <v>3</v>
      </c>
      <c r="AI20" s="10">
        <f>AH20/20%</f>
        <v>15</v>
      </c>
      <c r="AJ20" s="11">
        <v>1</v>
      </c>
      <c r="AK20" s="10">
        <f t="shared" si="4"/>
        <v>1.7543859649122808</v>
      </c>
      <c r="AL20" s="11">
        <v>2</v>
      </c>
      <c r="AM20" s="10">
        <f>AL20/19%</f>
        <v>10.526315789473685</v>
      </c>
      <c r="AN20" s="11"/>
      <c r="AO20" s="10"/>
      <c r="AP20" s="10"/>
      <c r="AQ20" s="10"/>
      <c r="AR20" s="11">
        <v>1</v>
      </c>
      <c r="AS20" s="10">
        <f>AR20/5%</f>
        <v>20</v>
      </c>
      <c r="AT20" s="11">
        <v>1</v>
      </c>
      <c r="AU20" s="10">
        <f>AT20/1%</f>
        <v>100</v>
      </c>
      <c r="AV20" s="11">
        <v>5</v>
      </c>
      <c r="AW20" s="10">
        <f t="shared" si="7"/>
        <v>27.777777777777779</v>
      </c>
      <c r="AX20" s="11">
        <v>1</v>
      </c>
      <c r="AY20" s="10">
        <f>AX20/9%</f>
        <v>11.111111111111111</v>
      </c>
      <c r="AZ20" s="11">
        <v>14</v>
      </c>
      <c r="BA20" s="10">
        <f t="shared" si="8"/>
        <v>8.1395348837209305</v>
      </c>
      <c r="BB20" s="11">
        <v>94</v>
      </c>
      <c r="BC20" s="10">
        <f t="shared" si="9"/>
        <v>23.5</v>
      </c>
      <c r="BD20" s="10"/>
      <c r="BE20" s="10"/>
      <c r="BF20" s="11">
        <v>23</v>
      </c>
      <c r="BG20" s="10">
        <f t="shared" si="10"/>
        <v>17.96875</v>
      </c>
      <c r="BH20" s="10"/>
      <c r="BI20" s="10"/>
      <c r="BJ20" s="11">
        <v>2</v>
      </c>
      <c r="BK20" s="10">
        <f t="shared" si="16"/>
        <v>11.76470588235294</v>
      </c>
      <c r="BL20" s="11">
        <v>1</v>
      </c>
      <c r="BM20" s="10">
        <f t="shared" ref="BM20:BM28" si="21">BL20/17%</f>
        <v>5.8823529411764701</v>
      </c>
      <c r="BN20" s="11">
        <v>2</v>
      </c>
      <c r="BO20" s="10">
        <f t="shared" ref="BO20:BO28" si="22">BN20/9%</f>
        <v>22.222222222222221</v>
      </c>
      <c r="BP20" s="11">
        <v>2</v>
      </c>
      <c r="BQ20" s="10">
        <f t="shared" si="14"/>
        <v>12.5</v>
      </c>
      <c r="BR20" s="11">
        <v>14</v>
      </c>
      <c r="BS20" s="10">
        <f t="shared" ref="BS20:BS28" si="23">BR20/33%</f>
        <v>42.424242424242422</v>
      </c>
      <c r="BT20" s="11">
        <v>1</v>
      </c>
      <c r="BU20" s="10">
        <f>BT20/11%</f>
        <v>9.0909090909090917</v>
      </c>
      <c r="BW20" s="10"/>
      <c r="BX20" s="3">
        <v>2</v>
      </c>
      <c r="BY20" s="15">
        <f>(ROUND((BX20/BX29)*100,1))</f>
        <v>11.8</v>
      </c>
      <c r="CE20" s="13">
        <f t="shared" si="0"/>
        <v>266</v>
      </c>
      <c r="CF20" s="14">
        <f t="shared" si="2"/>
        <v>11.955056179775282</v>
      </c>
    </row>
    <row r="21" spans="1:84">
      <c r="A21" s="21" t="s">
        <v>62</v>
      </c>
      <c r="C21" s="10"/>
      <c r="D21" s="11"/>
      <c r="E21" s="10"/>
      <c r="G21" s="10"/>
      <c r="H21" s="10"/>
      <c r="I21" s="10"/>
      <c r="K21" s="10"/>
      <c r="L21" s="11"/>
      <c r="M21" s="10"/>
      <c r="O21" s="10"/>
      <c r="P21" s="11"/>
      <c r="Q21" s="10"/>
      <c r="R21" s="11"/>
      <c r="S21" s="10"/>
      <c r="T21" s="10"/>
      <c r="U21" s="10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0"/>
      <c r="AQ21" s="10"/>
      <c r="AR21" s="11"/>
      <c r="AS21" s="10"/>
      <c r="AT21" s="10"/>
      <c r="AU21" s="10"/>
      <c r="AV21" s="11"/>
      <c r="AW21" s="10"/>
      <c r="AX21" s="11"/>
      <c r="AY21" s="10"/>
      <c r="AZ21" s="11"/>
      <c r="BA21" s="10"/>
      <c r="BB21" s="11">
        <v>1</v>
      </c>
      <c r="BC21" s="10">
        <f t="shared" si="9"/>
        <v>0.25</v>
      </c>
      <c r="BD21" s="10"/>
      <c r="BE21" s="10"/>
      <c r="BF21" s="11"/>
      <c r="BG21" s="10"/>
      <c r="BH21" s="10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  <c r="BU21" s="10"/>
      <c r="BW21" s="10"/>
      <c r="CE21" s="13">
        <f t="shared" si="0"/>
        <v>1</v>
      </c>
      <c r="CF21" s="14">
        <f t="shared" si="2"/>
        <v>4.49438202247191E-2</v>
      </c>
    </row>
    <row r="22" spans="1:84">
      <c r="A22" s="21" t="s">
        <v>63</v>
      </c>
      <c r="C22" s="10"/>
      <c r="D22" s="11"/>
      <c r="E22" s="10"/>
      <c r="F22" s="8"/>
      <c r="G22" s="10"/>
      <c r="H22" s="10"/>
      <c r="I22" s="10"/>
      <c r="K22" s="10"/>
      <c r="L22" s="11">
        <v>1</v>
      </c>
      <c r="M22" s="10">
        <f t="shared" si="15"/>
        <v>0.7407407407407407</v>
      </c>
      <c r="O22" s="10"/>
      <c r="P22" s="11"/>
      <c r="Q22" s="10"/>
      <c r="R22" s="11"/>
      <c r="S22" s="10"/>
      <c r="T22" s="10"/>
      <c r="U22" s="10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>
        <v>1</v>
      </c>
      <c r="AM22" s="10">
        <f>AL22/19%</f>
        <v>5.2631578947368425</v>
      </c>
      <c r="AN22" s="11"/>
      <c r="AO22" s="10"/>
      <c r="AP22" s="10"/>
      <c r="AQ22" s="10"/>
      <c r="AR22" s="11"/>
      <c r="AS22" s="10"/>
      <c r="AT22" s="10"/>
      <c r="AU22" s="10"/>
      <c r="AV22" s="11"/>
      <c r="AW22" s="10"/>
      <c r="AX22" s="11"/>
      <c r="AY22" s="10"/>
      <c r="AZ22" s="11"/>
      <c r="BA22" s="10"/>
      <c r="BB22" s="11"/>
      <c r="BC22" s="10"/>
      <c r="BD22" s="10"/>
      <c r="BE22" s="10"/>
      <c r="BF22" s="11"/>
      <c r="BG22" s="10"/>
      <c r="BH22" s="11"/>
      <c r="BI22" s="10"/>
      <c r="BJ22" s="11">
        <v>1</v>
      </c>
      <c r="BK22" s="10">
        <f t="shared" si="16"/>
        <v>5.8823529411764701</v>
      </c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W22" s="10"/>
      <c r="CE22" s="13">
        <f t="shared" si="0"/>
        <v>3</v>
      </c>
      <c r="CF22" s="14">
        <f t="shared" si="2"/>
        <v>0.1348314606741573</v>
      </c>
    </row>
    <row r="23" spans="1:84">
      <c r="A23" s="21" t="s">
        <v>64</v>
      </c>
      <c r="B23" s="9">
        <v>2</v>
      </c>
      <c r="C23" s="10">
        <f t="shared" si="17"/>
        <v>6.0606060606060606</v>
      </c>
      <c r="D23" s="11">
        <v>4</v>
      </c>
      <c r="E23" s="10">
        <f t="shared" si="18"/>
        <v>6.8965517241379315</v>
      </c>
      <c r="F23" s="9">
        <v>4</v>
      </c>
      <c r="G23" s="10">
        <f t="shared" si="3"/>
        <v>1.7316017316017316</v>
      </c>
      <c r="H23" s="10"/>
      <c r="I23" s="10"/>
      <c r="J23" s="9">
        <v>13</v>
      </c>
      <c r="K23" s="10">
        <f t="shared" si="1"/>
        <v>4.4673539518900345</v>
      </c>
      <c r="L23" s="11">
        <v>6</v>
      </c>
      <c r="M23" s="10">
        <f t="shared" si="15"/>
        <v>4.4444444444444438</v>
      </c>
      <c r="N23" s="9">
        <v>4</v>
      </c>
      <c r="O23" s="10">
        <f t="shared" si="5"/>
        <v>3.5087719298245617</v>
      </c>
      <c r="P23" s="11"/>
      <c r="Q23" s="10"/>
      <c r="R23" s="11">
        <v>3</v>
      </c>
      <c r="S23" s="10">
        <f t="shared" si="6"/>
        <v>2.7522935779816513</v>
      </c>
      <c r="T23" s="10"/>
      <c r="U23" s="10"/>
      <c r="V23" s="9">
        <v>5</v>
      </c>
      <c r="W23" s="10">
        <f t="shared" si="13"/>
        <v>5.6818181818181817</v>
      </c>
      <c r="X23" s="11">
        <v>1</v>
      </c>
      <c r="Y23" s="10">
        <f t="shared" si="19"/>
        <v>9.0909090909090917</v>
      </c>
      <c r="Z23" s="11"/>
      <c r="AA23" s="10"/>
      <c r="AB23" s="11">
        <v>2</v>
      </c>
      <c r="AC23" s="10">
        <f t="shared" si="20"/>
        <v>15.384615384615383</v>
      </c>
      <c r="AD23" s="11">
        <v>9</v>
      </c>
      <c r="AE23" s="10">
        <f t="shared" si="11"/>
        <v>13.432835820895521</v>
      </c>
      <c r="AF23" s="11"/>
      <c r="AG23" s="10"/>
      <c r="AH23" s="11">
        <v>7</v>
      </c>
      <c r="AI23" s="10">
        <f>AH23/20%</f>
        <v>35</v>
      </c>
      <c r="AJ23" s="11">
        <v>1</v>
      </c>
      <c r="AK23" s="10">
        <f t="shared" si="4"/>
        <v>1.7543859649122808</v>
      </c>
      <c r="AL23" s="11">
        <v>6</v>
      </c>
      <c r="AM23" s="10">
        <f>AL23/19%</f>
        <v>31.578947368421051</v>
      </c>
      <c r="AN23" s="11">
        <v>1</v>
      </c>
      <c r="AO23" s="10">
        <f>AN23/51%</f>
        <v>1.9607843137254901</v>
      </c>
      <c r="AP23" s="10"/>
      <c r="AQ23" s="10"/>
      <c r="AR23" s="11"/>
      <c r="AS23" s="10"/>
      <c r="AT23" s="10"/>
      <c r="AU23" s="10"/>
      <c r="AV23" s="11">
        <v>1</v>
      </c>
      <c r="AW23" s="10">
        <f t="shared" si="7"/>
        <v>5.5555555555555554</v>
      </c>
      <c r="AX23" s="11"/>
      <c r="AY23" s="10"/>
      <c r="AZ23" s="11">
        <v>36</v>
      </c>
      <c r="BA23" s="10">
        <f t="shared" si="8"/>
        <v>20.930232558139537</v>
      </c>
      <c r="BB23" s="11">
        <v>58</v>
      </c>
      <c r="BC23" s="10">
        <f t="shared" si="9"/>
        <v>14.5</v>
      </c>
      <c r="BD23" s="10"/>
      <c r="BE23" s="10"/>
      <c r="BF23" s="11">
        <v>15</v>
      </c>
      <c r="BG23" s="10">
        <f t="shared" si="10"/>
        <v>11.71875</v>
      </c>
      <c r="BH23" s="11">
        <v>2</v>
      </c>
      <c r="BI23" s="10">
        <f>BH23/4%</f>
        <v>50</v>
      </c>
      <c r="BJ23" s="11">
        <v>3</v>
      </c>
      <c r="BK23" s="10">
        <f t="shared" si="16"/>
        <v>17.647058823529409</v>
      </c>
      <c r="BL23" s="11"/>
      <c r="BM23" s="10"/>
      <c r="BN23" s="11"/>
      <c r="BO23" s="10"/>
      <c r="BP23" s="11">
        <v>2</v>
      </c>
      <c r="BQ23" s="10">
        <f t="shared" si="14"/>
        <v>12.5</v>
      </c>
      <c r="BR23" s="11">
        <v>4</v>
      </c>
      <c r="BS23" s="10">
        <f t="shared" si="23"/>
        <v>12.121212121212121</v>
      </c>
      <c r="BT23" s="11"/>
      <c r="BU23" s="10"/>
      <c r="BW23" s="10"/>
      <c r="BX23" s="3">
        <v>3</v>
      </c>
      <c r="BY23" s="15">
        <f>(ROUND((BX23/BX29)*100,1))</f>
        <v>17.600000000000001</v>
      </c>
      <c r="CE23" s="13">
        <f t="shared" si="0"/>
        <v>189</v>
      </c>
      <c r="CF23" s="14">
        <f t="shared" si="2"/>
        <v>8.4943820224719104</v>
      </c>
    </row>
    <row r="24" spans="1:84" s="15" customFormat="1">
      <c r="A24" s="20" t="s">
        <v>65</v>
      </c>
      <c r="B24" s="12"/>
      <c r="C24" s="17"/>
      <c r="D24" s="16">
        <v>2</v>
      </c>
      <c r="E24" s="17">
        <f t="shared" si="18"/>
        <v>3.4482758620689657</v>
      </c>
      <c r="F24" s="12">
        <v>1</v>
      </c>
      <c r="G24" s="17">
        <f t="shared" si="3"/>
        <v>0.4329004329004329</v>
      </c>
      <c r="H24" s="17"/>
      <c r="I24" s="17"/>
      <c r="J24" s="12">
        <v>6</v>
      </c>
      <c r="K24" s="17">
        <f t="shared" si="1"/>
        <v>2.0618556701030926</v>
      </c>
      <c r="L24" s="16">
        <v>2</v>
      </c>
      <c r="M24" s="17">
        <f t="shared" si="15"/>
        <v>1.4814814814814814</v>
      </c>
      <c r="N24" s="12"/>
      <c r="O24" s="17"/>
      <c r="P24" s="16">
        <v>1</v>
      </c>
      <c r="Q24" s="17">
        <f t="shared" si="12"/>
        <v>3.125</v>
      </c>
      <c r="R24" s="16">
        <v>2</v>
      </c>
      <c r="S24" s="17">
        <f t="shared" si="6"/>
        <v>1.8348623853211008</v>
      </c>
      <c r="T24" s="17"/>
      <c r="U24" s="17"/>
      <c r="V24" s="12"/>
      <c r="W24" s="17"/>
      <c r="X24" s="16"/>
      <c r="Y24" s="17"/>
      <c r="Z24" s="16"/>
      <c r="AA24" s="17"/>
      <c r="AB24" s="16"/>
      <c r="AC24" s="17"/>
      <c r="AD24" s="16">
        <v>2</v>
      </c>
      <c r="AE24" s="17">
        <f t="shared" si="11"/>
        <v>2.9850746268656714</v>
      </c>
      <c r="AF24" s="16"/>
      <c r="AG24" s="17"/>
      <c r="AH24" s="16"/>
      <c r="AI24" s="17"/>
      <c r="AJ24" s="16"/>
      <c r="AK24" s="17"/>
      <c r="AL24" s="16">
        <v>2</v>
      </c>
      <c r="AM24" s="10">
        <f>AL24/19%</f>
        <v>10.526315789473685</v>
      </c>
      <c r="AN24" s="16">
        <v>1</v>
      </c>
      <c r="AO24" s="10">
        <f>AN24/51%</f>
        <v>1.9607843137254901</v>
      </c>
      <c r="AP24" s="17"/>
      <c r="AQ24" s="17"/>
      <c r="AR24" s="16"/>
      <c r="AS24" s="17"/>
      <c r="AT24" s="17"/>
      <c r="AU24" s="17"/>
      <c r="AV24" s="16">
        <v>4</v>
      </c>
      <c r="AW24" s="17">
        <f t="shared" si="7"/>
        <v>22.222222222222221</v>
      </c>
      <c r="AX24" s="16"/>
      <c r="AY24" s="17"/>
      <c r="AZ24" s="16">
        <v>4</v>
      </c>
      <c r="BA24" s="17">
        <f t="shared" si="8"/>
        <v>2.3255813953488373</v>
      </c>
      <c r="BB24" s="16">
        <v>13</v>
      </c>
      <c r="BC24" s="17">
        <f t="shared" si="9"/>
        <v>3.25</v>
      </c>
      <c r="BD24" s="17"/>
      <c r="BE24" s="17"/>
      <c r="BF24" s="16">
        <v>6</v>
      </c>
      <c r="BG24" s="17">
        <f t="shared" si="10"/>
        <v>4.6875</v>
      </c>
      <c r="BH24" s="16"/>
      <c r="BI24" s="17"/>
      <c r="BJ24" s="16"/>
      <c r="BK24" s="17"/>
      <c r="BL24" s="16">
        <v>1</v>
      </c>
      <c r="BM24" s="17">
        <f t="shared" si="21"/>
        <v>5.8823529411764701</v>
      </c>
      <c r="BN24" s="16"/>
      <c r="BO24" s="17"/>
      <c r="BP24" s="16"/>
      <c r="BQ24" s="17"/>
      <c r="BR24" s="16"/>
      <c r="BS24" s="17"/>
      <c r="BT24" s="16">
        <v>1</v>
      </c>
      <c r="BU24" s="17">
        <f t="shared" ref="BU24:BU28" si="24">BT24/11%</f>
        <v>9.0909090909090917</v>
      </c>
      <c r="BV24" s="12">
        <v>2</v>
      </c>
      <c r="BW24" s="17">
        <f>BV24/2%</f>
        <v>100</v>
      </c>
      <c r="BX24" s="15">
        <v>1</v>
      </c>
      <c r="BY24" s="15">
        <f>(ROUND((BX24/BX29)*100,1))</f>
        <v>5.9</v>
      </c>
      <c r="BZ24" s="15">
        <v>1</v>
      </c>
      <c r="CA24" s="15">
        <f>(ROUND((BZ24/BZ29)*100,1))</f>
        <v>25</v>
      </c>
      <c r="CE24" s="13">
        <f t="shared" si="0"/>
        <v>50</v>
      </c>
      <c r="CF24" s="14">
        <f t="shared" si="2"/>
        <v>2.2471910112359552</v>
      </c>
    </row>
    <row r="25" spans="1:84">
      <c r="A25" s="8" t="s">
        <v>66</v>
      </c>
      <c r="C25" s="10"/>
      <c r="D25" s="11"/>
      <c r="E25" s="10"/>
      <c r="G25" s="10"/>
      <c r="H25" s="10"/>
      <c r="I25" s="10"/>
      <c r="K25" s="10"/>
      <c r="L25" s="11">
        <v>1</v>
      </c>
      <c r="M25" s="10">
        <f t="shared" si="15"/>
        <v>0.7407407407407407</v>
      </c>
      <c r="O25" s="10"/>
      <c r="P25" s="11"/>
      <c r="Q25" s="10"/>
      <c r="R25" s="11">
        <v>1</v>
      </c>
      <c r="S25" s="10">
        <f t="shared" si="6"/>
        <v>0.9174311926605504</v>
      </c>
      <c r="T25" s="10"/>
      <c r="U25" s="10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0"/>
      <c r="AQ25" s="10"/>
      <c r="AR25" s="11"/>
      <c r="AS25" s="10"/>
      <c r="AT25" s="10"/>
      <c r="AU25" s="10"/>
      <c r="AV25" s="11">
        <v>1</v>
      </c>
      <c r="AW25" s="10">
        <f t="shared" si="7"/>
        <v>5.5555555555555554</v>
      </c>
      <c r="AX25" s="11"/>
      <c r="AY25" s="10"/>
      <c r="AZ25" s="11"/>
      <c r="BA25" s="10"/>
      <c r="BB25" s="11"/>
      <c r="BC25" s="10"/>
      <c r="BD25" s="10"/>
      <c r="BE25" s="10"/>
      <c r="BF25" s="11">
        <v>3</v>
      </c>
      <c r="BG25" s="10">
        <f t="shared" si="10"/>
        <v>2.34375</v>
      </c>
      <c r="BH25" s="11"/>
      <c r="BI25" s="10"/>
      <c r="BJ25" s="11">
        <v>1</v>
      </c>
      <c r="BK25" s="10">
        <f t="shared" si="16"/>
        <v>5.8823529411764701</v>
      </c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W25" s="10"/>
      <c r="CE25" s="13">
        <f t="shared" si="0"/>
        <v>7</v>
      </c>
      <c r="CF25" s="14">
        <f t="shared" si="2"/>
        <v>0.3146067415730337</v>
      </c>
    </row>
    <row r="26" spans="1:84">
      <c r="A26" s="8" t="s">
        <v>67</v>
      </c>
      <c r="B26" s="9">
        <v>8</v>
      </c>
      <c r="C26" s="10">
        <f t="shared" si="17"/>
        <v>24.242424242424242</v>
      </c>
      <c r="D26" s="11">
        <v>3</v>
      </c>
      <c r="E26" s="10">
        <f t="shared" si="18"/>
        <v>5.1724137931034484</v>
      </c>
      <c r="G26" s="10"/>
      <c r="H26" s="11">
        <v>1</v>
      </c>
      <c r="I26" s="10">
        <f>H26/2%</f>
        <v>50</v>
      </c>
      <c r="J26" s="9">
        <v>7</v>
      </c>
      <c r="K26" s="10">
        <f t="shared" si="1"/>
        <v>2.4054982817869415</v>
      </c>
      <c r="L26" s="11">
        <v>6</v>
      </c>
      <c r="M26" s="10">
        <f t="shared" si="15"/>
        <v>4.4444444444444438</v>
      </c>
      <c r="N26" s="9">
        <v>6</v>
      </c>
      <c r="O26" s="10">
        <f t="shared" si="5"/>
        <v>5.2631578947368425</v>
      </c>
      <c r="P26" s="11">
        <v>2</v>
      </c>
      <c r="Q26" s="10">
        <f t="shared" si="12"/>
        <v>6.25</v>
      </c>
      <c r="R26" s="11">
        <v>2</v>
      </c>
      <c r="S26" s="10">
        <f t="shared" si="6"/>
        <v>1.8348623853211008</v>
      </c>
      <c r="T26" s="10"/>
      <c r="U26" s="10"/>
      <c r="V26" s="9">
        <v>1</v>
      </c>
      <c r="W26" s="10">
        <f t="shared" si="13"/>
        <v>1.1363636363636365</v>
      </c>
      <c r="X26" s="11">
        <v>2</v>
      </c>
      <c r="Y26" s="10">
        <f t="shared" si="19"/>
        <v>18.181818181818183</v>
      </c>
      <c r="Z26" s="11">
        <v>2</v>
      </c>
      <c r="AA26" s="10">
        <f>Z26/2%</f>
        <v>100</v>
      </c>
      <c r="AB26" s="11">
        <v>1</v>
      </c>
      <c r="AC26" s="10">
        <f t="shared" si="20"/>
        <v>7.6923076923076916</v>
      </c>
      <c r="AD26" s="11">
        <v>4</v>
      </c>
      <c r="AE26" s="10">
        <f t="shared" si="11"/>
        <v>5.9701492537313428</v>
      </c>
      <c r="AF26" s="11"/>
      <c r="AG26" s="10"/>
      <c r="AH26" s="11">
        <v>1</v>
      </c>
      <c r="AI26" s="10">
        <f>AH26/20%</f>
        <v>5</v>
      </c>
      <c r="AJ26" s="11">
        <v>1</v>
      </c>
      <c r="AK26" s="10">
        <f t="shared" si="4"/>
        <v>1.7543859649122808</v>
      </c>
      <c r="AL26" s="11">
        <v>1</v>
      </c>
      <c r="AM26" s="10">
        <f>AL26/19%</f>
        <v>5.2631578947368425</v>
      </c>
      <c r="AN26" s="11">
        <v>7</v>
      </c>
      <c r="AO26" s="10">
        <f>AN26/51%</f>
        <v>13.725490196078431</v>
      </c>
      <c r="AP26" s="10"/>
      <c r="AQ26" s="10"/>
      <c r="AR26" s="11"/>
      <c r="AS26" s="10"/>
      <c r="AT26" s="10"/>
      <c r="AU26" s="10"/>
      <c r="AV26" s="11">
        <v>2</v>
      </c>
      <c r="AW26" s="10">
        <f t="shared" si="7"/>
        <v>11.111111111111111</v>
      </c>
      <c r="AX26" s="11">
        <v>4</v>
      </c>
      <c r="AY26" s="10">
        <f t="shared" ref="AY26:AY28" si="25">AX26/9%</f>
        <v>44.444444444444443</v>
      </c>
      <c r="AZ26" s="11">
        <v>12</v>
      </c>
      <c r="BA26" s="10">
        <f t="shared" si="8"/>
        <v>6.9767441860465116</v>
      </c>
      <c r="BB26" s="11">
        <v>16</v>
      </c>
      <c r="BC26" s="10">
        <f t="shared" si="9"/>
        <v>4</v>
      </c>
      <c r="BD26" s="10"/>
      <c r="BE26" s="10"/>
      <c r="BF26" s="11"/>
      <c r="BG26" s="10"/>
      <c r="BH26" s="11">
        <v>2</v>
      </c>
      <c r="BI26" s="10">
        <f t="shared" ref="BI26" si="26">BH26/4%</f>
        <v>50</v>
      </c>
      <c r="BJ26" s="11">
        <v>2</v>
      </c>
      <c r="BK26" s="10">
        <f t="shared" si="16"/>
        <v>11.76470588235294</v>
      </c>
      <c r="BL26" s="11"/>
      <c r="BM26" s="10"/>
      <c r="BN26" s="11">
        <v>4</v>
      </c>
      <c r="BO26" s="10">
        <f t="shared" si="22"/>
        <v>44.444444444444443</v>
      </c>
      <c r="BP26" s="11">
        <v>3</v>
      </c>
      <c r="BQ26" s="10">
        <f t="shared" si="14"/>
        <v>18.75</v>
      </c>
      <c r="BR26" s="11">
        <v>2</v>
      </c>
      <c r="BS26" s="10">
        <f t="shared" si="23"/>
        <v>6.0606060606060606</v>
      </c>
      <c r="BT26" s="11"/>
      <c r="BU26" s="10"/>
      <c r="BW26" s="10"/>
      <c r="BX26" s="3">
        <v>1</v>
      </c>
      <c r="BY26" s="15">
        <f>(ROUND((BX26/BX29)*100,1))</f>
        <v>5.9</v>
      </c>
      <c r="BZ26" s="8">
        <v>2</v>
      </c>
      <c r="CA26" s="15">
        <f>(ROUND((BZ26/BZ29)*100,1))</f>
        <v>50</v>
      </c>
      <c r="CE26" s="13">
        <f t="shared" si="0"/>
        <v>102</v>
      </c>
      <c r="CF26" s="14">
        <f t="shared" si="2"/>
        <v>4.584269662921348</v>
      </c>
    </row>
    <row r="27" spans="1:84">
      <c r="A27" s="8" t="s">
        <v>68</v>
      </c>
      <c r="B27" s="9">
        <v>2</v>
      </c>
      <c r="C27" s="10">
        <f t="shared" si="17"/>
        <v>6.0606060606060606</v>
      </c>
      <c r="D27" s="10">
        <v>1</v>
      </c>
      <c r="E27" s="10">
        <f t="shared" si="18"/>
        <v>1.7241379310344829</v>
      </c>
      <c r="G27" s="10"/>
      <c r="H27" s="11">
        <v>1</v>
      </c>
      <c r="I27" s="10">
        <f>H27/2%</f>
        <v>50</v>
      </c>
      <c r="J27" s="9">
        <v>2</v>
      </c>
      <c r="K27" s="10">
        <f t="shared" si="1"/>
        <v>0.6872852233676976</v>
      </c>
      <c r="L27" s="11">
        <v>1</v>
      </c>
      <c r="M27" s="10">
        <f t="shared" si="15"/>
        <v>0.7407407407407407</v>
      </c>
      <c r="O27" s="10"/>
      <c r="P27" s="11"/>
      <c r="Q27" s="10"/>
      <c r="R27" s="11"/>
      <c r="S27" s="10"/>
      <c r="T27" s="10"/>
      <c r="U27" s="10"/>
      <c r="V27" s="9">
        <v>1</v>
      </c>
      <c r="W27" s="10">
        <f t="shared" si="13"/>
        <v>1.1363636363636365</v>
      </c>
      <c r="X27" s="11">
        <v>1</v>
      </c>
      <c r="Y27" s="10">
        <f t="shared" si="19"/>
        <v>9.0909090909090917</v>
      </c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0"/>
      <c r="AQ27" s="10"/>
      <c r="AR27" s="11"/>
      <c r="AS27" s="10"/>
      <c r="AT27" s="10"/>
      <c r="AU27" s="10"/>
      <c r="AV27" s="11"/>
      <c r="AW27" s="10"/>
      <c r="AX27" s="11"/>
      <c r="AY27" s="10"/>
      <c r="AZ27" s="11">
        <v>5</v>
      </c>
      <c r="BA27" s="10">
        <f t="shared" si="8"/>
        <v>2.9069767441860463</v>
      </c>
      <c r="BB27" s="11"/>
      <c r="BC27" s="10"/>
      <c r="BD27" s="10"/>
      <c r="BE27" s="10"/>
      <c r="BF27" s="11"/>
      <c r="BG27" s="10"/>
      <c r="BH27" s="10"/>
      <c r="BI27" s="10"/>
      <c r="BJ27" s="11"/>
      <c r="BK27" s="10"/>
      <c r="BL27" s="11"/>
      <c r="BM27" s="10"/>
      <c r="BN27" s="11"/>
      <c r="BO27" s="10"/>
      <c r="BP27" s="11">
        <v>2</v>
      </c>
      <c r="BQ27" s="10">
        <f t="shared" si="14"/>
        <v>12.5</v>
      </c>
      <c r="BR27" s="11"/>
      <c r="BS27" s="10"/>
      <c r="BT27" s="11"/>
      <c r="BU27" s="10"/>
      <c r="BW27" s="10"/>
      <c r="CE27" s="13">
        <f t="shared" si="0"/>
        <v>16</v>
      </c>
      <c r="CF27" s="14">
        <f t="shared" si="2"/>
        <v>0.7191011235955056</v>
      </c>
    </row>
    <row r="28" spans="1:84">
      <c r="A28" s="8" t="s">
        <v>69</v>
      </c>
      <c r="B28" s="9">
        <v>17</v>
      </c>
      <c r="C28" s="10">
        <f t="shared" si="17"/>
        <v>51.515151515151516</v>
      </c>
      <c r="D28" s="10">
        <v>35</v>
      </c>
      <c r="E28" s="10">
        <f t="shared" si="18"/>
        <v>60.344827586206904</v>
      </c>
      <c r="F28" s="9">
        <v>183</v>
      </c>
      <c r="G28" s="10">
        <f t="shared" si="3"/>
        <v>79.220779220779221</v>
      </c>
      <c r="H28" s="10"/>
      <c r="I28" s="10"/>
      <c r="J28" s="9">
        <v>202</v>
      </c>
      <c r="K28" s="10">
        <f t="shared" si="1"/>
        <v>69.415807560137452</v>
      </c>
      <c r="L28" s="11">
        <v>100</v>
      </c>
      <c r="M28" s="10">
        <f t="shared" si="15"/>
        <v>74.074074074074076</v>
      </c>
      <c r="N28" s="9">
        <v>91</v>
      </c>
      <c r="O28" s="10">
        <f t="shared" si="5"/>
        <v>79.824561403508781</v>
      </c>
      <c r="P28" s="11">
        <v>20</v>
      </c>
      <c r="Q28" s="10">
        <f t="shared" si="12"/>
        <v>62.5</v>
      </c>
      <c r="R28" s="11">
        <v>90</v>
      </c>
      <c r="S28" s="10">
        <f t="shared" si="6"/>
        <v>82.568807339449535</v>
      </c>
      <c r="T28" s="11">
        <v>2</v>
      </c>
      <c r="U28" s="10">
        <f>T28/2%</f>
        <v>100</v>
      </c>
      <c r="V28" s="9">
        <v>70</v>
      </c>
      <c r="W28" s="10">
        <f t="shared" si="13"/>
        <v>79.545454545454547</v>
      </c>
      <c r="X28" s="11">
        <v>3</v>
      </c>
      <c r="Y28" s="10">
        <f t="shared" si="19"/>
        <v>27.272727272727273</v>
      </c>
      <c r="Z28" s="11"/>
      <c r="AA28" s="10"/>
      <c r="AB28" s="11">
        <v>5</v>
      </c>
      <c r="AC28" s="10">
        <f t="shared" si="20"/>
        <v>38.46153846153846</v>
      </c>
      <c r="AD28" s="11">
        <v>23</v>
      </c>
      <c r="AE28" s="10">
        <f t="shared" si="11"/>
        <v>34.328358208955223</v>
      </c>
      <c r="AF28" s="11">
        <v>40</v>
      </c>
      <c r="AG28" s="10">
        <f>AF28/44%</f>
        <v>90.909090909090907</v>
      </c>
      <c r="AH28" s="11">
        <v>5</v>
      </c>
      <c r="AI28" s="10">
        <f>AH28/20%</f>
        <v>25</v>
      </c>
      <c r="AJ28" s="11">
        <v>50</v>
      </c>
      <c r="AK28" s="10">
        <f t="shared" si="4"/>
        <v>87.719298245614041</v>
      </c>
      <c r="AL28" s="11">
        <v>5</v>
      </c>
      <c r="AM28" s="10">
        <f>AL28/19%</f>
        <v>26.315789473684209</v>
      </c>
      <c r="AN28" s="11">
        <v>33</v>
      </c>
      <c r="AO28" s="10">
        <f>AN28/51%</f>
        <v>64.705882352941174</v>
      </c>
      <c r="AP28" s="11">
        <v>3</v>
      </c>
      <c r="AQ28" s="10">
        <f>AP28/3%</f>
        <v>100</v>
      </c>
      <c r="AR28" s="11">
        <v>4</v>
      </c>
      <c r="AS28" s="10">
        <f t="shared" ref="AS28" si="27">AR28/5%</f>
        <v>80</v>
      </c>
      <c r="AT28" s="10"/>
      <c r="AU28" s="10"/>
      <c r="AV28" s="11">
        <v>3</v>
      </c>
      <c r="AW28" s="10">
        <f t="shared" si="7"/>
        <v>16.666666666666668</v>
      </c>
      <c r="AX28" s="11">
        <v>4</v>
      </c>
      <c r="AY28" s="10">
        <f t="shared" si="25"/>
        <v>44.444444444444443</v>
      </c>
      <c r="AZ28" s="11">
        <v>91</v>
      </c>
      <c r="BA28" s="10">
        <f t="shared" si="8"/>
        <v>52.906976744186046</v>
      </c>
      <c r="BB28" s="11">
        <v>200</v>
      </c>
      <c r="BC28" s="10">
        <f t="shared" si="9"/>
        <v>50</v>
      </c>
      <c r="BD28" s="11">
        <v>1</v>
      </c>
      <c r="BE28" s="10">
        <f>BD28/1%</f>
        <v>100</v>
      </c>
      <c r="BF28" s="11">
        <v>70</v>
      </c>
      <c r="BG28" s="10">
        <f t="shared" si="10"/>
        <v>54.6875</v>
      </c>
      <c r="BH28" s="10"/>
      <c r="BI28" s="10"/>
      <c r="BJ28" s="11">
        <v>6</v>
      </c>
      <c r="BK28" s="10">
        <f t="shared" si="16"/>
        <v>35.294117647058819</v>
      </c>
      <c r="BL28" s="11">
        <v>14</v>
      </c>
      <c r="BM28" s="10">
        <f t="shared" si="21"/>
        <v>82.35294117647058</v>
      </c>
      <c r="BN28" s="11">
        <v>2</v>
      </c>
      <c r="BO28" s="10">
        <f t="shared" si="22"/>
        <v>22.222222222222221</v>
      </c>
      <c r="BP28" s="11">
        <v>4</v>
      </c>
      <c r="BQ28" s="10">
        <f t="shared" si="14"/>
        <v>25</v>
      </c>
      <c r="BR28" s="11">
        <v>11</v>
      </c>
      <c r="BS28" s="10">
        <f t="shared" si="23"/>
        <v>33.333333333333329</v>
      </c>
      <c r="BT28" s="11">
        <v>9</v>
      </c>
      <c r="BU28" s="10">
        <f t="shared" si="24"/>
        <v>81.818181818181813</v>
      </c>
      <c r="BW28" s="10"/>
      <c r="BX28" s="3">
        <v>8</v>
      </c>
      <c r="BY28" s="15">
        <f>(ROUND((BX28/BX29)*100,1))</f>
        <v>47.1</v>
      </c>
      <c r="BZ28" s="8">
        <v>1</v>
      </c>
      <c r="CA28" s="15">
        <f>(ROUND((BZ28/BZ29)*100,1))</f>
        <v>25</v>
      </c>
      <c r="CB28" s="8">
        <v>41</v>
      </c>
      <c r="CC28" s="15">
        <f>(ROUND((CB28/CB29)*100,1))</f>
        <v>91.1</v>
      </c>
      <c r="CE28" s="13">
        <f t="shared" si="0"/>
        <v>1396</v>
      </c>
      <c r="CF28" s="14">
        <f t="shared" si="2"/>
        <v>62.741573033707866</v>
      </c>
    </row>
    <row r="29" spans="1:84" s="5" customFormat="1" ht="13">
      <c r="A29" s="5" t="s">
        <v>70</v>
      </c>
      <c r="B29" s="6">
        <f t="shared" ref="B29:AG29" si="28">SUM(B1:B28)</f>
        <v>33</v>
      </c>
      <c r="C29" s="6">
        <f t="shared" si="28"/>
        <v>100</v>
      </c>
      <c r="D29" s="6">
        <f t="shared" si="28"/>
        <v>58</v>
      </c>
      <c r="E29" s="6">
        <f t="shared" si="28"/>
        <v>100</v>
      </c>
      <c r="F29" s="6">
        <f t="shared" si="28"/>
        <v>231</v>
      </c>
      <c r="G29" s="6">
        <f t="shared" si="28"/>
        <v>100</v>
      </c>
      <c r="H29" s="6">
        <f t="shared" si="28"/>
        <v>2</v>
      </c>
      <c r="I29" s="6">
        <f t="shared" si="28"/>
        <v>100</v>
      </c>
      <c r="J29" s="6">
        <f t="shared" si="28"/>
        <v>291</v>
      </c>
      <c r="K29" s="6">
        <f t="shared" si="28"/>
        <v>99.999999999999986</v>
      </c>
      <c r="L29" s="6">
        <f t="shared" si="28"/>
        <v>135</v>
      </c>
      <c r="M29" s="6">
        <f t="shared" si="28"/>
        <v>100</v>
      </c>
      <c r="N29" s="6">
        <f t="shared" si="28"/>
        <v>114</v>
      </c>
      <c r="O29" s="6">
        <f t="shared" si="28"/>
        <v>100.00000000000001</v>
      </c>
      <c r="P29" s="6">
        <f t="shared" si="28"/>
        <v>32</v>
      </c>
      <c r="Q29" s="6">
        <f t="shared" si="28"/>
        <v>100</v>
      </c>
      <c r="R29" s="6">
        <f t="shared" si="28"/>
        <v>109</v>
      </c>
      <c r="S29" s="6">
        <f t="shared" si="28"/>
        <v>100</v>
      </c>
      <c r="T29" s="6">
        <f t="shared" si="28"/>
        <v>2</v>
      </c>
      <c r="U29" s="6">
        <f t="shared" si="28"/>
        <v>100</v>
      </c>
      <c r="V29" s="6">
        <f t="shared" si="28"/>
        <v>88</v>
      </c>
      <c r="W29" s="6">
        <f t="shared" si="28"/>
        <v>100</v>
      </c>
      <c r="X29" s="6">
        <f t="shared" si="28"/>
        <v>11</v>
      </c>
      <c r="Y29" s="6">
        <f t="shared" si="28"/>
        <v>100</v>
      </c>
      <c r="Z29" s="6">
        <f t="shared" si="28"/>
        <v>2</v>
      </c>
      <c r="AA29" s="6">
        <f t="shared" si="28"/>
        <v>100</v>
      </c>
      <c r="AB29" s="6">
        <f t="shared" si="28"/>
        <v>13</v>
      </c>
      <c r="AC29" s="6">
        <f t="shared" si="28"/>
        <v>100</v>
      </c>
      <c r="AD29" s="6">
        <f t="shared" si="28"/>
        <v>67</v>
      </c>
      <c r="AE29" s="6">
        <f t="shared" si="28"/>
        <v>100</v>
      </c>
      <c r="AF29" s="6">
        <f t="shared" si="28"/>
        <v>44</v>
      </c>
      <c r="AG29" s="6">
        <f t="shared" si="28"/>
        <v>100</v>
      </c>
      <c r="AH29" s="6">
        <f t="shared" ref="AH29:CC29" si="29">SUM(AH1:AH28)</f>
        <v>20</v>
      </c>
      <c r="AI29" s="6">
        <f t="shared" si="29"/>
        <v>100</v>
      </c>
      <c r="AJ29" s="6">
        <f t="shared" si="29"/>
        <v>57</v>
      </c>
      <c r="AK29" s="6">
        <f t="shared" si="29"/>
        <v>100</v>
      </c>
      <c r="AL29" s="6">
        <f t="shared" si="29"/>
        <v>19</v>
      </c>
      <c r="AM29" s="6">
        <f t="shared" si="29"/>
        <v>99.999999999999986</v>
      </c>
      <c r="AN29" s="6">
        <f t="shared" si="29"/>
        <v>51</v>
      </c>
      <c r="AO29" s="6">
        <f t="shared" si="29"/>
        <v>100</v>
      </c>
      <c r="AP29" s="6">
        <f t="shared" si="29"/>
        <v>3</v>
      </c>
      <c r="AQ29" s="6">
        <f t="shared" si="29"/>
        <v>100</v>
      </c>
      <c r="AR29" s="6">
        <f t="shared" si="29"/>
        <v>5</v>
      </c>
      <c r="AS29" s="6">
        <f t="shared" si="29"/>
        <v>100</v>
      </c>
      <c r="AT29" s="6">
        <f t="shared" si="29"/>
        <v>1</v>
      </c>
      <c r="AU29" s="6">
        <f t="shared" si="29"/>
        <v>100</v>
      </c>
      <c r="AV29" s="6">
        <f t="shared" si="29"/>
        <v>18</v>
      </c>
      <c r="AW29" s="6">
        <f t="shared" si="29"/>
        <v>100</v>
      </c>
      <c r="AX29" s="6">
        <f t="shared" si="29"/>
        <v>9</v>
      </c>
      <c r="AY29" s="6">
        <f t="shared" si="29"/>
        <v>100</v>
      </c>
      <c r="AZ29" s="6">
        <f t="shared" si="29"/>
        <v>172</v>
      </c>
      <c r="BA29" s="6">
        <f t="shared" si="29"/>
        <v>100</v>
      </c>
      <c r="BB29" s="6">
        <f t="shared" si="29"/>
        <v>400</v>
      </c>
      <c r="BC29" s="6">
        <f t="shared" si="29"/>
        <v>100</v>
      </c>
      <c r="BD29" s="6">
        <f t="shared" si="29"/>
        <v>1</v>
      </c>
      <c r="BE29" s="6">
        <f t="shared" si="29"/>
        <v>100</v>
      </c>
      <c r="BF29" s="6">
        <f t="shared" si="29"/>
        <v>128</v>
      </c>
      <c r="BG29" s="6">
        <f t="shared" si="29"/>
        <v>100</v>
      </c>
      <c r="BH29" s="6">
        <f t="shared" si="29"/>
        <v>4</v>
      </c>
      <c r="BI29" s="6">
        <f t="shared" si="29"/>
        <v>100</v>
      </c>
      <c r="BJ29" s="6">
        <f t="shared" si="29"/>
        <v>17</v>
      </c>
      <c r="BK29" s="6">
        <f t="shared" si="29"/>
        <v>100</v>
      </c>
      <c r="BL29" s="6">
        <f t="shared" si="29"/>
        <v>17</v>
      </c>
      <c r="BM29" s="6">
        <f t="shared" si="29"/>
        <v>99.999999999999986</v>
      </c>
      <c r="BN29" s="6">
        <f t="shared" si="29"/>
        <v>9</v>
      </c>
      <c r="BO29" s="6">
        <f t="shared" si="29"/>
        <v>100</v>
      </c>
      <c r="BP29" s="6">
        <f t="shared" si="29"/>
        <v>16</v>
      </c>
      <c r="BQ29" s="6">
        <f t="shared" si="29"/>
        <v>100</v>
      </c>
      <c r="BR29" s="6">
        <f t="shared" si="29"/>
        <v>33</v>
      </c>
      <c r="BS29" s="6">
        <f t="shared" si="29"/>
        <v>100</v>
      </c>
      <c r="BT29" s="6">
        <f t="shared" si="29"/>
        <v>11</v>
      </c>
      <c r="BU29" s="6">
        <f t="shared" si="29"/>
        <v>100</v>
      </c>
      <c r="BV29" s="7">
        <f t="shared" si="29"/>
        <v>2</v>
      </c>
      <c r="BW29" s="6">
        <f t="shared" si="29"/>
        <v>100</v>
      </c>
      <c r="BX29" s="7">
        <f t="shared" si="29"/>
        <v>17</v>
      </c>
      <c r="BY29" s="6">
        <f t="shared" si="29"/>
        <v>100.1</v>
      </c>
      <c r="BZ29" s="7">
        <f t="shared" si="29"/>
        <v>4</v>
      </c>
      <c r="CA29" s="6">
        <f t="shared" si="29"/>
        <v>100</v>
      </c>
      <c r="CB29" s="7">
        <f t="shared" si="29"/>
        <v>45</v>
      </c>
      <c r="CC29" s="6">
        <f t="shared" si="29"/>
        <v>100</v>
      </c>
      <c r="CE29" s="6">
        <f>SUM(CE1:CE28)</f>
        <v>2225</v>
      </c>
      <c r="CF29" s="6">
        <f>SUM(CF1:CF28)</f>
        <v>100</v>
      </c>
    </row>
    <row r="30" spans="1:84">
      <c r="BY30" s="6"/>
    </row>
    <row r="33" spans="1:75" s="8" customFormat="1" ht="13">
      <c r="A33" s="2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12"/>
      <c r="BW33" s="9"/>
    </row>
    <row r="36" spans="1:75" s="8" customFormat="1" ht="13">
      <c r="D36" s="8" t="s">
        <v>41</v>
      </c>
      <c r="BV36" s="15"/>
    </row>
    <row r="37" spans="1:75" s="8" customFormat="1" ht="13">
      <c r="B37" s="9"/>
      <c r="D37" s="8" t="s">
        <v>43</v>
      </c>
      <c r="BV37" s="15"/>
    </row>
    <row r="38" spans="1:75" s="8" customFormat="1" ht="13">
      <c r="A38" s="1" t="s">
        <v>0</v>
      </c>
      <c r="B38" s="9"/>
      <c r="D38" s="9"/>
      <c r="BV38" s="15"/>
    </row>
    <row r="39" spans="1:75" s="8" customFormat="1" ht="13">
      <c r="A39" s="1"/>
      <c r="B39" s="9" t="s">
        <v>42</v>
      </c>
      <c r="D39" s="9"/>
      <c r="BV39" s="15"/>
    </row>
    <row r="40" spans="1:75" s="8" customFormat="1" ht="13">
      <c r="A40" s="8" t="s">
        <v>71</v>
      </c>
      <c r="B40" s="9">
        <v>37</v>
      </c>
      <c r="C40" s="8">
        <f>B40/710%</f>
        <v>5.211267605633803</v>
      </c>
      <c r="D40" s="9"/>
      <c r="BV40" s="15"/>
    </row>
    <row r="41" spans="1:75" s="8" customFormat="1" ht="13">
      <c r="A41" s="21" t="s">
        <v>72</v>
      </c>
      <c r="B41" s="9">
        <v>1</v>
      </c>
      <c r="C41" s="8">
        <f t="shared" ref="C41:C52" si="30">B41/710%</f>
        <v>0.14084507042253522</v>
      </c>
      <c r="D41" s="9"/>
      <c r="BV41" s="15"/>
    </row>
    <row r="42" spans="1:75" s="8" customFormat="1" ht="13">
      <c r="A42" s="8" t="s">
        <v>48</v>
      </c>
      <c r="B42" s="9">
        <v>4</v>
      </c>
      <c r="C42" s="8">
        <f t="shared" si="30"/>
        <v>0.56338028169014087</v>
      </c>
      <c r="D42" s="9"/>
      <c r="BV42" s="15"/>
    </row>
    <row r="43" spans="1:75" s="8" customFormat="1" ht="13">
      <c r="A43" s="8" t="s">
        <v>49</v>
      </c>
      <c r="B43" s="9">
        <v>63</v>
      </c>
      <c r="C43" s="8">
        <f t="shared" si="30"/>
        <v>8.873239436619718</v>
      </c>
      <c r="D43" s="9"/>
      <c r="BV43" s="15"/>
    </row>
    <row r="44" spans="1:75" s="8" customFormat="1" ht="13">
      <c r="A44" s="8" t="s">
        <v>55</v>
      </c>
      <c r="B44" s="9">
        <v>40</v>
      </c>
      <c r="C44" s="8">
        <f t="shared" si="30"/>
        <v>5.6338028169014089</v>
      </c>
      <c r="D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12"/>
      <c r="BW44" s="9"/>
    </row>
    <row r="45" spans="1:75" s="8" customFormat="1" ht="13">
      <c r="A45" s="21" t="s">
        <v>57</v>
      </c>
      <c r="B45" s="9">
        <v>2</v>
      </c>
      <c r="C45" s="8">
        <f t="shared" si="30"/>
        <v>0.28169014084507044</v>
      </c>
      <c r="D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12"/>
      <c r="BW45" s="9"/>
    </row>
    <row r="46" spans="1:75" s="8" customFormat="1" ht="13">
      <c r="A46" s="21" t="s">
        <v>58</v>
      </c>
      <c r="B46" s="9">
        <v>36</v>
      </c>
      <c r="C46" s="8">
        <f t="shared" si="30"/>
        <v>5.070422535211268</v>
      </c>
      <c r="D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12"/>
      <c r="BW46" s="9"/>
    </row>
    <row r="47" spans="1:75" s="8" customFormat="1" ht="13">
      <c r="A47" s="21" t="s">
        <v>59</v>
      </c>
      <c r="B47" s="9">
        <v>1</v>
      </c>
      <c r="C47" s="8">
        <f t="shared" si="30"/>
        <v>0.14084507042253522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12"/>
      <c r="BW47" s="9"/>
    </row>
    <row r="48" spans="1:75" s="8" customFormat="1" ht="13">
      <c r="A48" s="21" t="s">
        <v>60</v>
      </c>
      <c r="B48" s="9">
        <v>5</v>
      </c>
      <c r="C48" s="8">
        <f t="shared" si="30"/>
        <v>0.70422535211267612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12"/>
      <c r="BW48" s="9"/>
    </row>
    <row r="49" spans="1:3" s="8" customFormat="1" ht="13">
      <c r="A49" s="21" t="s">
        <v>61</v>
      </c>
      <c r="B49" s="9">
        <v>284</v>
      </c>
      <c r="C49" s="8">
        <f t="shared" si="30"/>
        <v>40</v>
      </c>
    </row>
    <row r="50" spans="1:3" s="8" customFormat="1" ht="13">
      <c r="A50" s="21" t="s">
        <v>62</v>
      </c>
      <c r="B50" s="9">
        <v>1</v>
      </c>
      <c r="C50" s="8">
        <f t="shared" si="30"/>
        <v>0.14084507042253522</v>
      </c>
    </row>
    <row r="51" spans="1:3" s="8" customFormat="1" ht="13">
      <c r="A51" s="21" t="s">
        <v>64</v>
      </c>
      <c r="B51" s="9">
        <v>187</v>
      </c>
      <c r="C51" s="8">
        <f t="shared" si="30"/>
        <v>26.338028169014084</v>
      </c>
    </row>
    <row r="52" spans="1:3" s="8" customFormat="1" ht="13">
      <c r="A52" s="21" t="s">
        <v>65</v>
      </c>
      <c r="B52" s="9">
        <v>49</v>
      </c>
      <c r="C52" s="8">
        <f t="shared" si="30"/>
        <v>6.9014084507042259</v>
      </c>
    </row>
    <row r="53" spans="1:3" s="8" customFormat="1" ht="13">
      <c r="B53" s="9">
        <f>SUM(B40:B52)</f>
        <v>710</v>
      </c>
      <c r="C53" s="9"/>
    </row>
    <row r="58" spans="1:3" s="8" customFormat="1" ht="13">
      <c r="A58" s="21"/>
      <c r="B58" s="9"/>
      <c r="C58" s="9"/>
    </row>
    <row r="59" spans="1:3" s="8" customFormat="1" ht="13">
      <c r="A59" s="21"/>
      <c r="B59" s="9"/>
      <c r="C59" s="9"/>
    </row>
    <row r="60" spans="1:3" s="8" customFormat="1" ht="13">
      <c r="A60" s="21"/>
      <c r="B60" s="9"/>
      <c r="C60" s="9"/>
    </row>
    <row r="61" spans="1:3" s="8" customFormat="1" ht="13">
      <c r="A61" s="21"/>
      <c r="B61" s="9"/>
      <c r="C61" s="9"/>
    </row>
    <row r="66" spans="1:4" s="8" customFormat="1" ht="13">
      <c r="A66" s="8" t="s">
        <v>61</v>
      </c>
      <c r="B66" s="8">
        <v>284</v>
      </c>
      <c r="D66" s="8">
        <f>B66/520%</f>
        <v>54.615384615384613</v>
      </c>
    </row>
    <row r="67" spans="1:4" s="8" customFormat="1" ht="13">
      <c r="A67" s="8" t="s">
        <v>64</v>
      </c>
      <c r="B67" s="8">
        <v>187</v>
      </c>
      <c r="D67" s="8">
        <f t="shared" ref="D67:D68" si="31">B67/520%</f>
        <v>35.96153846153846</v>
      </c>
    </row>
    <row r="68" spans="1:4" s="8" customFormat="1" ht="13">
      <c r="A68" s="8" t="s">
        <v>65</v>
      </c>
      <c r="B68" s="8">
        <v>49</v>
      </c>
      <c r="D68" s="8">
        <f t="shared" si="31"/>
        <v>9.4230769230769234</v>
      </c>
    </row>
    <row r="69" spans="1:4" s="8" customFormat="1" ht="13">
      <c r="A69" s="8" t="s">
        <v>70</v>
      </c>
      <c r="B69" s="8">
        <f>SUM(B66:B68)</f>
        <v>520</v>
      </c>
      <c r="D69" s="8">
        <f>SUM(D66:D68)</f>
        <v>99.999999999999986</v>
      </c>
    </row>
  </sheetData>
  <mergeCells count="39">
    <mergeCell ref="CB1:CC1"/>
    <mergeCell ref="CE1:CF1"/>
    <mergeCell ref="A38:A39"/>
    <mergeCell ref="BP1:BQ1"/>
    <mergeCell ref="BR1:BS1"/>
    <mergeCell ref="BT1:BU1"/>
    <mergeCell ref="BV1:BW1"/>
    <mergeCell ref="BX1:BY1"/>
    <mergeCell ref="BZ1:CA1"/>
    <mergeCell ref="AV1:AW1"/>
    <mergeCell ref="AX1:AY1"/>
    <mergeCell ref="AZ1:BA1"/>
    <mergeCell ref="BB1:BC1"/>
    <mergeCell ref="BD1:BE1"/>
    <mergeCell ref="BN1:BO1"/>
    <mergeCell ref="AJ1:AK1"/>
    <mergeCell ref="AL1:AM1"/>
    <mergeCell ref="AN1:AO1"/>
    <mergeCell ref="AP1:AQ1"/>
    <mergeCell ref="AR1:AS1"/>
    <mergeCell ref="AT1:AU1"/>
    <mergeCell ref="X1:Y1"/>
    <mergeCell ref="Z1:AA1"/>
    <mergeCell ref="AB1:AC1"/>
    <mergeCell ref="AD1:AE1"/>
    <mergeCell ref="AF1:AG1"/>
    <mergeCell ref="AH1:AI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>University of Michigan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Baker-Young</dc:creator>
  <cp:lastModifiedBy>M. Baker-Young</cp:lastModifiedBy>
  <dcterms:created xsi:type="dcterms:W3CDTF">2018-02-16T14:11:05Z</dcterms:created>
  <dcterms:modified xsi:type="dcterms:W3CDTF">2018-02-16T14:11:23Z</dcterms:modified>
</cp:coreProperties>
</file>