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10" windowWidth="11475" windowHeight="5325" tabRatio="697" firstSheet="8" activeTab="16"/>
  </bookViews>
  <sheets>
    <sheet name="Table 1" sheetId="3" r:id="rId1"/>
    <sheet name="Table 2" sheetId="4" r:id="rId2"/>
    <sheet name="Table 3" sheetId="5" r:id="rId3"/>
    <sheet name="Table 4" sheetId="6" r:id="rId4"/>
    <sheet name="Table 5" sheetId="7" r:id="rId5"/>
    <sheet name="Table 6" sheetId="8" r:id="rId6"/>
    <sheet name="Table 7" sheetId="9" r:id="rId7"/>
    <sheet name="Table 8" sheetId="10" r:id="rId8"/>
    <sheet name="Table 9" sheetId="11" r:id="rId9"/>
    <sheet name="Table 10" sheetId="12" r:id="rId10"/>
    <sheet name="Table 11" sheetId="13" r:id="rId11"/>
    <sheet name="Table 12" sheetId="14" r:id="rId12"/>
    <sheet name="Table 13" sheetId="15" r:id="rId13"/>
    <sheet name="Table 14" sheetId="16" r:id="rId14"/>
    <sheet name="Tab 4.1 Ph4distribution by SUok" sheetId="18" state="hidden" r:id="rId15"/>
    <sheet name="Tab 4.2 Phase 4 NR+mni OK" sheetId="19" state="hidden" r:id="rId16"/>
    <sheet name="Table 15" sheetId="20" r:id="rId17"/>
    <sheet name="Table 16" sheetId="17" r:id="rId18"/>
    <sheet name="Table 17" sheetId="21" r:id="rId19"/>
  </sheets>
  <calcPr calcId="145621"/>
</workbook>
</file>

<file path=xl/calcChain.xml><?xml version="1.0" encoding="utf-8"?>
<calcChain xmlns="http://schemas.openxmlformats.org/spreadsheetml/2006/main">
  <c r="J33" i="20" l="1"/>
  <c r="J32" i="20"/>
  <c r="J31" i="20"/>
  <c r="J30" i="20"/>
  <c r="J29" i="20"/>
  <c r="J28" i="20"/>
  <c r="J27" i="20"/>
  <c r="J26" i="20"/>
  <c r="J25" i="20"/>
  <c r="J24" i="20"/>
  <c r="J23" i="20"/>
  <c r="J22" i="20"/>
  <c r="J21" i="20"/>
  <c r="J20" i="20"/>
  <c r="J19" i="20"/>
  <c r="J18" i="20"/>
  <c r="J17" i="20"/>
  <c r="J16" i="20"/>
  <c r="J15" i="20"/>
  <c r="J14" i="20"/>
  <c r="J13" i="20"/>
  <c r="J12" i="20"/>
  <c r="J11" i="20"/>
  <c r="J10" i="20"/>
  <c r="J9" i="20"/>
  <c r="J8" i="20"/>
  <c r="J7" i="20"/>
  <c r="J6" i="20"/>
  <c r="J5" i="20"/>
  <c r="J4" i="20"/>
  <c r="J3" i="20"/>
  <c r="I33" i="20"/>
  <c r="I32" i="20"/>
  <c r="I31" i="20"/>
  <c r="I30" i="20"/>
  <c r="I29" i="20"/>
  <c r="I28" i="20"/>
  <c r="I27" i="20"/>
  <c r="I26" i="20"/>
  <c r="I25" i="20"/>
  <c r="I24" i="20"/>
  <c r="I23" i="20"/>
  <c r="I19" i="20"/>
  <c r="I18" i="20"/>
  <c r="I17" i="20"/>
  <c r="I20" i="20"/>
  <c r="I21" i="20"/>
  <c r="I22" i="20"/>
  <c r="I16" i="20"/>
  <c r="I15" i="20"/>
  <c r="I14" i="20"/>
  <c r="I13" i="20"/>
  <c r="I12" i="20"/>
  <c r="I11" i="20"/>
  <c r="I10" i="20"/>
  <c r="I9" i="20"/>
  <c r="I8" i="20"/>
  <c r="I7" i="20"/>
  <c r="I6" i="20"/>
  <c r="I5" i="20"/>
  <c r="I4" i="20"/>
  <c r="I3" i="20"/>
  <c r="H32" i="20"/>
  <c r="CC28" i="14"/>
  <c r="CC15" i="14"/>
  <c r="CA28" i="14"/>
  <c r="CA26" i="14"/>
  <c r="CA24" i="14"/>
  <c r="BY28" i="14"/>
  <c r="BY26" i="14"/>
  <c r="BY24" i="14"/>
  <c r="BY23" i="14"/>
  <c r="BY20" i="14"/>
  <c r="BY13" i="14"/>
  <c r="BY8" i="14"/>
  <c r="CB29" i="14"/>
  <c r="BZ29" i="14"/>
  <c r="BX29" i="14"/>
  <c r="AP9" i="15"/>
  <c r="AQ9" i="15" s="1"/>
  <c r="AP10" i="15"/>
  <c r="AP8" i="15"/>
  <c r="AQ8" i="15" s="1"/>
  <c r="AP7" i="15"/>
  <c r="AP6" i="15"/>
  <c r="AP5" i="15"/>
  <c r="AP4" i="15"/>
  <c r="AP3" i="15"/>
  <c r="C41" i="13"/>
  <c r="C40" i="13"/>
  <c r="C39" i="13"/>
  <c r="CC29" i="14" l="1"/>
  <c r="CA29" i="14"/>
  <c r="BY29" i="14"/>
  <c r="M10" i="9"/>
  <c r="L10" i="9"/>
  <c r="L9" i="9"/>
  <c r="D9" i="21" l="1"/>
  <c r="E9" i="21"/>
  <c r="F9" i="21"/>
  <c r="B9" i="21"/>
  <c r="G5" i="20"/>
  <c r="G6" i="20"/>
  <c r="G7" i="20"/>
  <c r="G8" i="20"/>
  <c r="G9" i="20"/>
  <c r="G14" i="20"/>
  <c r="G15" i="20"/>
  <c r="G16" i="20"/>
  <c r="G17" i="20"/>
  <c r="G18" i="20"/>
  <c r="G23" i="20"/>
  <c r="G24" i="20"/>
  <c r="G26" i="20"/>
  <c r="G27" i="20"/>
  <c r="G28" i="20"/>
  <c r="G29" i="20"/>
  <c r="G30" i="20"/>
  <c r="G31" i="20"/>
  <c r="G32" i="20"/>
  <c r="G3" i="20"/>
  <c r="E12" i="20"/>
  <c r="E14" i="20"/>
  <c r="E16" i="20"/>
  <c r="E17" i="20"/>
  <c r="E19" i="20"/>
  <c r="E21" i="20"/>
  <c r="E23" i="20"/>
  <c r="E24" i="20"/>
  <c r="E26" i="20"/>
  <c r="E27" i="20"/>
  <c r="E28" i="20"/>
  <c r="E30" i="20"/>
  <c r="E31" i="20"/>
  <c r="E32" i="20"/>
  <c r="E4" i="20"/>
  <c r="E5" i="20"/>
  <c r="E7" i="20"/>
  <c r="E9" i="20"/>
  <c r="E3" i="20"/>
  <c r="G3" i="9"/>
  <c r="G6" i="9"/>
  <c r="G7" i="9"/>
  <c r="G8" i="9"/>
  <c r="G12" i="9"/>
  <c r="G15" i="9"/>
  <c r="G17" i="9"/>
  <c r="G18" i="9"/>
  <c r="G20" i="9"/>
  <c r="G21" i="9"/>
  <c r="G22" i="9"/>
  <c r="E16" i="9"/>
  <c r="E17" i="9"/>
  <c r="E18" i="9"/>
  <c r="E20" i="9"/>
  <c r="E21" i="9"/>
  <c r="E22" i="9"/>
  <c r="E15" i="9"/>
  <c r="E9" i="9"/>
  <c r="E8" i="9"/>
  <c r="E5" i="9"/>
  <c r="I10" i="9"/>
  <c r="I4" i="17"/>
  <c r="I5" i="17"/>
  <c r="AQ4" i="15" l="1"/>
  <c r="AQ5" i="15"/>
  <c r="AQ6" i="15"/>
  <c r="AQ7" i="15"/>
  <c r="AQ10" i="15"/>
  <c r="U11" i="15"/>
  <c r="T11" i="15"/>
  <c r="Q11" i="15"/>
  <c r="R11" i="15"/>
  <c r="AO3" i="14"/>
  <c r="AO28" i="14"/>
  <c r="AO26" i="14"/>
  <c r="AO24" i="14"/>
  <c r="AO23" i="14"/>
  <c r="AO14" i="14"/>
  <c r="AO10" i="14"/>
  <c r="AO29" i="14" s="1"/>
  <c r="CE4" i="14"/>
  <c r="CF4" i="14" s="1"/>
  <c r="CE5" i="14"/>
  <c r="CF5" i="14" s="1"/>
  <c r="CE6" i="14"/>
  <c r="CF6" i="14" s="1"/>
  <c r="CE7" i="14"/>
  <c r="CF7" i="14" s="1"/>
  <c r="CE8" i="14"/>
  <c r="CF8" i="14" s="1"/>
  <c r="CE9" i="14"/>
  <c r="CF9" i="14" s="1"/>
  <c r="CE10" i="14"/>
  <c r="CF10" i="14" s="1"/>
  <c r="CE11" i="14"/>
  <c r="CF11" i="14" s="1"/>
  <c r="CE12" i="14"/>
  <c r="CF12" i="14" s="1"/>
  <c r="CE13" i="14"/>
  <c r="CF13" i="14" s="1"/>
  <c r="CE14" i="14"/>
  <c r="CF14" i="14" s="1"/>
  <c r="CE15" i="14"/>
  <c r="CF15" i="14" s="1"/>
  <c r="CE16" i="14"/>
  <c r="CF16" i="14" s="1"/>
  <c r="CE17" i="14"/>
  <c r="CF17" i="14" s="1"/>
  <c r="CE18" i="14"/>
  <c r="CF18" i="14" s="1"/>
  <c r="CE19" i="14"/>
  <c r="CF19" i="14" s="1"/>
  <c r="CE20" i="14"/>
  <c r="CF20" i="14" s="1"/>
  <c r="CE21" i="14"/>
  <c r="CF21" i="14" s="1"/>
  <c r="CE22" i="14"/>
  <c r="CF22" i="14" s="1"/>
  <c r="CE23" i="14"/>
  <c r="CF23" i="14" s="1"/>
  <c r="CE24" i="14"/>
  <c r="CF24" i="14" s="1"/>
  <c r="CE25" i="14"/>
  <c r="CF25" i="14" s="1"/>
  <c r="CE26" i="14"/>
  <c r="CF26" i="14" s="1"/>
  <c r="CE27" i="14"/>
  <c r="CF27" i="14" s="1"/>
  <c r="CE28" i="14"/>
  <c r="CF28" i="14" s="1"/>
  <c r="CE3" i="14"/>
  <c r="CF3" i="14" s="1"/>
  <c r="AM28" i="14"/>
  <c r="AM26" i="14"/>
  <c r="AM24" i="14"/>
  <c r="AM23" i="14"/>
  <c r="AM22" i="14"/>
  <c r="AM20" i="14"/>
  <c r="AM8" i="14"/>
  <c r="AM7" i="14"/>
  <c r="AL29" i="14"/>
  <c r="AN29" i="14"/>
  <c r="AI28" i="14"/>
  <c r="AI26" i="14"/>
  <c r="AI23" i="14"/>
  <c r="AI20" i="14"/>
  <c r="AI14" i="14"/>
  <c r="AI8" i="14"/>
  <c r="AG28" i="14"/>
  <c r="AG20" i="14"/>
  <c r="AG17" i="14"/>
  <c r="AG14" i="14"/>
  <c r="AG3" i="14"/>
  <c r="AF29" i="14"/>
  <c r="AH29" i="14"/>
  <c r="E8" i="14"/>
  <c r="BW24" i="14"/>
  <c r="C4" i="13"/>
  <c r="C5" i="13"/>
  <c r="C6" i="13"/>
  <c r="C7" i="13"/>
  <c r="C8" i="13"/>
  <c r="C9" i="13"/>
  <c r="C10" i="13"/>
  <c r="C11" i="13"/>
  <c r="C12" i="13"/>
  <c r="C13" i="13"/>
  <c r="C14" i="13"/>
  <c r="C15" i="13"/>
  <c r="C16" i="13"/>
  <c r="C17" i="13"/>
  <c r="C18" i="13"/>
  <c r="C19" i="13"/>
  <c r="C20" i="13"/>
  <c r="C21" i="13"/>
  <c r="C22" i="13"/>
  <c r="C23" i="13"/>
  <c r="C24" i="13"/>
  <c r="C25" i="13"/>
  <c r="C26" i="13"/>
  <c r="C27" i="13"/>
  <c r="C28" i="13"/>
  <c r="C29" i="13"/>
  <c r="C30" i="13"/>
  <c r="C31" i="13"/>
  <c r="C32" i="13"/>
  <c r="C33" i="13"/>
  <c r="C34" i="13"/>
  <c r="C35" i="13"/>
  <c r="C36" i="13"/>
  <c r="C37" i="13"/>
  <c r="C38" i="13"/>
  <c r="C42" i="13"/>
  <c r="C3" i="13"/>
  <c r="AP11" i="15" l="1"/>
  <c r="AQ3" i="15"/>
  <c r="AM29" i="14"/>
  <c r="AI29" i="14"/>
  <c r="AG29" i="14"/>
  <c r="I5" i="12" l="1"/>
  <c r="H4" i="10"/>
  <c r="H5" i="10"/>
  <c r="H6" i="10"/>
  <c r="H3" i="10"/>
  <c r="F23" i="9" l="1"/>
  <c r="L6" i="9"/>
  <c r="M6" i="9" s="1"/>
  <c r="L5" i="9"/>
  <c r="M5" i="9" s="1"/>
  <c r="L7" i="9"/>
  <c r="M7" i="9" s="1"/>
  <c r="C17" i="9"/>
  <c r="C20" i="9"/>
  <c r="C22" i="9"/>
  <c r="C15" i="9"/>
  <c r="C4" i="8" l="1"/>
  <c r="C5" i="8"/>
  <c r="C6" i="8"/>
  <c r="C7" i="8"/>
  <c r="C3" i="8"/>
  <c r="Y7" i="5" l="1"/>
  <c r="Y6" i="5"/>
  <c r="Y5" i="5"/>
  <c r="Y4" i="5"/>
  <c r="Y3" i="5"/>
  <c r="X4" i="5"/>
  <c r="X5" i="5"/>
  <c r="X6" i="5"/>
  <c r="X7" i="5"/>
  <c r="X3" i="5"/>
  <c r="Y4" i="4"/>
  <c r="Y5" i="4"/>
  <c r="Y6" i="4"/>
  <c r="Y7" i="4"/>
  <c r="Y8" i="4"/>
  <c r="Y9" i="4"/>
  <c r="Y10" i="4"/>
  <c r="Y11" i="4"/>
  <c r="Y12" i="4"/>
  <c r="Y13" i="4"/>
  <c r="Y14" i="4"/>
  <c r="Y15" i="4"/>
  <c r="Y16" i="4"/>
  <c r="Y17" i="4"/>
  <c r="Y18" i="4"/>
  <c r="Y19" i="4"/>
  <c r="Y20" i="4"/>
  <c r="Y21" i="4"/>
  <c r="Y3" i="4"/>
  <c r="X4" i="4"/>
  <c r="X5" i="4"/>
  <c r="X6" i="4"/>
  <c r="X7" i="4"/>
  <c r="X8" i="4"/>
  <c r="X9" i="4"/>
  <c r="X10" i="4"/>
  <c r="X11" i="4"/>
  <c r="X12" i="4"/>
  <c r="X13" i="4"/>
  <c r="X14" i="4"/>
  <c r="X15" i="4"/>
  <c r="X16" i="4"/>
  <c r="X17" i="4"/>
  <c r="X18" i="4"/>
  <c r="X19" i="4"/>
  <c r="X20" i="4"/>
  <c r="X21" i="4"/>
  <c r="X3" i="4"/>
  <c r="C4" i="3"/>
  <c r="C5" i="3"/>
  <c r="C6" i="3"/>
  <c r="C7" i="3"/>
  <c r="C8" i="3"/>
  <c r="C9" i="3"/>
  <c r="C10" i="3"/>
  <c r="C11" i="3"/>
  <c r="C12" i="3"/>
  <c r="C13" i="3"/>
  <c r="C3" i="3"/>
  <c r="U5" i="5" l="1"/>
  <c r="U6" i="5"/>
  <c r="U7" i="5"/>
  <c r="U3" i="5"/>
  <c r="U8" i="5" s="1"/>
  <c r="S5" i="5"/>
  <c r="R8" i="5"/>
  <c r="S8" i="5"/>
  <c r="T8" i="5"/>
  <c r="S15" i="4"/>
  <c r="S19" i="4"/>
  <c r="S21" i="4"/>
  <c r="S3" i="4"/>
  <c r="U22" i="4"/>
  <c r="R22" i="4"/>
  <c r="S22" i="4"/>
  <c r="T22" i="4"/>
  <c r="C9" i="21" l="1"/>
  <c r="J8" i="21"/>
  <c r="K8" i="21" s="1"/>
  <c r="G8" i="21"/>
  <c r="J7" i="21"/>
  <c r="K7" i="21" s="1"/>
  <c r="G7" i="21"/>
  <c r="J6" i="21"/>
  <c r="K6" i="21" s="1"/>
  <c r="G6" i="21"/>
  <c r="J5" i="21"/>
  <c r="K5" i="21" s="1"/>
  <c r="G5" i="21"/>
  <c r="J4" i="21"/>
  <c r="K4" i="21" s="1"/>
  <c r="G4" i="21"/>
  <c r="J3" i="21"/>
  <c r="K3" i="21" s="1"/>
  <c r="G3" i="21"/>
  <c r="H77" i="20"/>
  <c r="H33" i="20"/>
  <c r="G33" i="20"/>
  <c r="F33" i="20"/>
  <c r="E33" i="20"/>
  <c r="D33" i="20"/>
  <c r="B33" i="20"/>
  <c r="K32" i="20"/>
  <c r="C32" i="20"/>
  <c r="K31" i="20"/>
  <c r="K30" i="20"/>
  <c r="C30" i="20"/>
  <c r="C33" i="20" s="1"/>
  <c r="K29" i="20"/>
  <c r="K28" i="20"/>
  <c r="K27" i="20"/>
  <c r="K26" i="20"/>
  <c r="K25" i="20"/>
  <c r="K24" i="20"/>
  <c r="K23" i="20"/>
  <c r="K22" i="20"/>
  <c r="K21" i="20"/>
  <c r="K20" i="20"/>
  <c r="K19" i="20"/>
  <c r="K18" i="20"/>
  <c r="K17" i="20"/>
  <c r="K16" i="20"/>
  <c r="K15" i="20"/>
  <c r="K14" i="20"/>
  <c r="K13" i="20"/>
  <c r="K12" i="20"/>
  <c r="K11" i="20"/>
  <c r="K10" i="20"/>
  <c r="K9" i="20"/>
  <c r="K8" i="20"/>
  <c r="K7" i="20"/>
  <c r="K6" i="20"/>
  <c r="K5" i="20"/>
  <c r="K4" i="20"/>
  <c r="G9" i="21" l="1"/>
  <c r="K3" i="20"/>
  <c r="K33" i="20" s="1"/>
  <c r="K9" i="21"/>
  <c r="J9" i="21"/>
  <c r="G11" i="19" l="1"/>
  <c r="F11" i="19"/>
  <c r="E11" i="19"/>
  <c r="D11" i="19"/>
  <c r="C11" i="19"/>
  <c r="B11" i="19"/>
  <c r="I10" i="19"/>
  <c r="H10" i="19"/>
  <c r="I9" i="19"/>
  <c r="H9" i="19"/>
  <c r="K8" i="19"/>
  <c r="J8" i="19"/>
  <c r="I8" i="19"/>
  <c r="H8" i="19"/>
  <c r="K7" i="19"/>
  <c r="J7" i="19"/>
  <c r="I7" i="19"/>
  <c r="H7" i="19"/>
  <c r="K6" i="19"/>
  <c r="J6" i="19"/>
  <c r="I6" i="19"/>
  <c r="H6" i="19"/>
  <c r="K5" i="19"/>
  <c r="J5" i="19"/>
  <c r="I5" i="19"/>
  <c r="H5" i="19"/>
  <c r="K4" i="19"/>
  <c r="K11" i="19" s="1"/>
  <c r="J4" i="19"/>
  <c r="J11" i="19" s="1"/>
  <c r="I4" i="19"/>
  <c r="H4" i="19"/>
  <c r="I3" i="19"/>
  <c r="I11" i="19" s="1"/>
  <c r="H3" i="19"/>
  <c r="H11" i="19" s="1"/>
  <c r="B6" i="18"/>
  <c r="C5" i="18"/>
  <c r="C4" i="18"/>
  <c r="C3" i="18"/>
  <c r="C6" i="18" s="1"/>
  <c r="BU24" i="14" l="1"/>
  <c r="BU28" i="14"/>
  <c r="BU20" i="14"/>
  <c r="BS20" i="14"/>
  <c r="BS23" i="14"/>
  <c r="BS26" i="14"/>
  <c r="BS28" i="14"/>
  <c r="BS8" i="14"/>
  <c r="BQ13" i="14"/>
  <c r="BQ17" i="14"/>
  <c r="BQ20" i="14"/>
  <c r="BQ23" i="14"/>
  <c r="BQ26" i="14"/>
  <c r="BQ27" i="14"/>
  <c r="BQ28" i="14"/>
  <c r="BQ29" i="14"/>
  <c r="BQ8" i="14"/>
  <c r="BO20" i="14"/>
  <c r="BO29" i="14" s="1"/>
  <c r="BO26" i="14"/>
  <c r="BO28" i="14"/>
  <c r="BO9" i="14"/>
  <c r="BM20" i="14"/>
  <c r="BM29" i="14" s="1"/>
  <c r="BM24" i="14"/>
  <c r="BM28" i="14"/>
  <c r="BM17" i="14"/>
  <c r="BK14" i="14"/>
  <c r="BK29" i="14" s="1"/>
  <c r="BK20" i="14"/>
  <c r="BK22" i="14"/>
  <c r="BK23" i="14"/>
  <c r="BK25" i="14"/>
  <c r="BK26" i="14"/>
  <c r="BK28" i="14"/>
  <c r="BK4" i="14"/>
  <c r="BI26" i="14"/>
  <c r="BI29" i="14" s="1"/>
  <c r="BI23" i="14"/>
  <c r="BG8" i="14"/>
  <c r="BG29" i="14" s="1"/>
  <c r="BG13" i="14"/>
  <c r="BG15" i="14"/>
  <c r="BG19" i="14"/>
  <c r="BG20" i="14"/>
  <c r="BG23" i="14"/>
  <c r="BG24" i="14"/>
  <c r="BG25" i="14"/>
  <c r="BG28" i="14"/>
  <c r="BG5" i="14"/>
  <c r="BE28" i="14"/>
  <c r="BE29" i="14" s="1"/>
  <c r="BC8" i="14"/>
  <c r="BC13" i="14"/>
  <c r="BC14" i="14"/>
  <c r="BC15" i="14"/>
  <c r="BC17" i="14"/>
  <c r="BC20" i="14"/>
  <c r="BC21" i="14"/>
  <c r="BC23" i="14"/>
  <c r="BC24" i="14"/>
  <c r="BC26" i="14"/>
  <c r="BC28" i="14"/>
  <c r="BC5" i="14"/>
  <c r="BC29" i="14" s="1"/>
  <c r="BA8" i="14"/>
  <c r="BA13" i="14"/>
  <c r="BA29" i="14" s="1"/>
  <c r="BA14" i="14"/>
  <c r="BA17" i="14"/>
  <c r="BA20" i="14"/>
  <c r="BA23" i="14"/>
  <c r="BA24" i="14"/>
  <c r="BA26" i="14"/>
  <c r="BA27" i="14"/>
  <c r="BA28" i="14"/>
  <c r="BA3" i="14"/>
  <c r="AY26" i="14"/>
  <c r="AY28" i="14"/>
  <c r="AY20" i="14"/>
  <c r="AY29" i="14" s="1"/>
  <c r="AW8" i="14"/>
  <c r="AW20" i="14"/>
  <c r="AW23" i="14"/>
  <c r="AW24" i="14"/>
  <c r="AW25" i="14"/>
  <c r="AW26" i="14"/>
  <c r="AW28" i="14"/>
  <c r="AW3" i="14"/>
  <c r="AW29" i="14" s="1"/>
  <c r="AU20" i="14"/>
  <c r="AS28" i="14"/>
  <c r="AS29" i="14" s="1"/>
  <c r="AS20" i="14"/>
  <c r="AQ28" i="14"/>
  <c r="AQ29" i="14" s="1"/>
  <c r="AK7" i="14"/>
  <c r="AK8" i="14"/>
  <c r="AK29" i="14" s="1"/>
  <c r="AK20" i="14"/>
  <c r="AK23" i="14"/>
  <c r="AK26" i="14"/>
  <c r="AK28" i="14"/>
  <c r="AK4" i="14"/>
  <c r="AE11" i="14"/>
  <c r="AE29" i="14" s="1"/>
  <c r="AE12" i="14"/>
  <c r="AE13" i="14"/>
  <c r="AE17" i="14"/>
  <c r="AE20" i="14"/>
  <c r="AE23" i="14"/>
  <c r="AE24" i="14"/>
  <c r="AE26" i="14"/>
  <c r="AE28" i="14"/>
  <c r="AE8" i="14"/>
  <c r="AC20" i="14"/>
  <c r="AC23" i="14"/>
  <c r="AC26" i="14"/>
  <c r="AC28" i="14"/>
  <c r="AC13" i="14"/>
  <c r="AC29" i="14" s="1"/>
  <c r="AA26" i="14"/>
  <c r="Y20" i="14"/>
  <c r="Y29" i="14" s="1"/>
  <c r="Y23" i="14"/>
  <c r="Y26" i="14"/>
  <c r="Y27" i="14"/>
  <c r="Y28" i="14"/>
  <c r="Y17" i="14"/>
  <c r="W13" i="14"/>
  <c r="W14" i="14"/>
  <c r="W19" i="14"/>
  <c r="W20" i="14"/>
  <c r="W23" i="14"/>
  <c r="W26" i="14"/>
  <c r="W27" i="14"/>
  <c r="W28" i="14"/>
  <c r="W8" i="14"/>
  <c r="W29" i="14" s="1"/>
  <c r="U28" i="14"/>
  <c r="S8" i="14"/>
  <c r="S29" i="14" s="1"/>
  <c r="S14" i="14"/>
  <c r="S17" i="14"/>
  <c r="S20" i="14"/>
  <c r="S23" i="14"/>
  <c r="S24" i="14"/>
  <c r="S25" i="14"/>
  <c r="S26" i="14"/>
  <c r="S28" i="14"/>
  <c r="S5" i="14"/>
  <c r="Q13" i="14"/>
  <c r="Q29" i="14" s="1"/>
  <c r="Q20" i="14"/>
  <c r="Q24" i="14"/>
  <c r="Q26" i="14"/>
  <c r="Q28" i="14"/>
  <c r="Q3" i="14"/>
  <c r="O8" i="14"/>
  <c r="O9" i="14"/>
  <c r="O14" i="14"/>
  <c r="O17" i="14"/>
  <c r="O20" i="14"/>
  <c r="O23" i="14"/>
  <c r="O26" i="14"/>
  <c r="O28" i="14"/>
  <c r="O3" i="14"/>
  <c r="O29" i="14" s="1"/>
  <c r="M14" i="14"/>
  <c r="M15" i="14"/>
  <c r="M19" i="14"/>
  <c r="M20" i="14"/>
  <c r="M22" i="14"/>
  <c r="M23" i="14"/>
  <c r="M24" i="14"/>
  <c r="M25" i="14"/>
  <c r="M26" i="14"/>
  <c r="M27" i="14"/>
  <c r="M28" i="14"/>
  <c r="M3" i="14"/>
  <c r="M29" i="14" s="1"/>
  <c r="K4" i="14"/>
  <c r="K5" i="14"/>
  <c r="K7" i="14"/>
  <c r="K8" i="14"/>
  <c r="K14" i="14"/>
  <c r="K16" i="14"/>
  <c r="K17" i="14"/>
  <c r="K20" i="14"/>
  <c r="K23" i="14"/>
  <c r="K24" i="14"/>
  <c r="K26" i="14"/>
  <c r="K27" i="14"/>
  <c r="K28" i="14"/>
  <c r="K3" i="14"/>
  <c r="K29" i="14" s="1"/>
  <c r="I27" i="14"/>
  <c r="I26" i="14"/>
  <c r="I29" i="14" s="1"/>
  <c r="G5" i="14"/>
  <c r="G6" i="14"/>
  <c r="G8" i="14"/>
  <c r="G13" i="14"/>
  <c r="G14" i="14"/>
  <c r="G15" i="14"/>
  <c r="G17" i="14"/>
  <c r="G20" i="14"/>
  <c r="G23" i="14"/>
  <c r="G24" i="14"/>
  <c r="G28" i="14"/>
  <c r="G3" i="14"/>
  <c r="G29" i="14" s="1"/>
  <c r="E20" i="14"/>
  <c r="E23" i="14"/>
  <c r="E29" i="14" s="1"/>
  <c r="E24" i="14"/>
  <c r="E26" i="14"/>
  <c r="E27" i="14"/>
  <c r="E28" i="14"/>
  <c r="C20" i="14"/>
  <c r="C23" i="14"/>
  <c r="C26" i="14"/>
  <c r="C27" i="14"/>
  <c r="C28" i="14"/>
  <c r="C18" i="14"/>
  <c r="C29" i="14" s="1"/>
  <c r="I3" i="17"/>
  <c r="I40" i="16"/>
  <c r="H40" i="16"/>
  <c r="F40" i="16"/>
  <c r="E40" i="16"/>
  <c r="C40" i="16"/>
  <c r="B40" i="16"/>
  <c r="AL11" i="15"/>
  <c r="AK11" i="15"/>
  <c r="AJ11" i="15"/>
  <c r="AI11" i="15"/>
  <c r="AH11" i="15"/>
  <c r="AG11" i="15"/>
  <c r="AF11" i="15"/>
  <c r="AE11" i="15"/>
  <c r="AD11" i="15"/>
  <c r="AC11" i="15"/>
  <c r="AB11" i="15"/>
  <c r="AA11" i="15"/>
  <c r="Z11" i="15"/>
  <c r="Y11" i="15"/>
  <c r="X11" i="15"/>
  <c r="W11" i="15"/>
  <c r="V11" i="15"/>
  <c r="S11" i="15"/>
  <c r="P11" i="15"/>
  <c r="O11" i="15"/>
  <c r="N11" i="15"/>
  <c r="M11" i="15"/>
  <c r="L11" i="15"/>
  <c r="K11" i="15"/>
  <c r="J11" i="15"/>
  <c r="I11" i="15"/>
  <c r="H11" i="15"/>
  <c r="G11" i="15"/>
  <c r="F11" i="15"/>
  <c r="E11" i="15"/>
  <c r="D11" i="15"/>
  <c r="C11" i="15"/>
  <c r="B11" i="15"/>
  <c r="B69" i="14"/>
  <c r="D68" i="14"/>
  <c r="D67" i="14"/>
  <c r="D66" i="14"/>
  <c r="B53" i="14"/>
  <c r="C52" i="14"/>
  <c r="C51" i="14"/>
  <c r="C50" i="14"/>
  <c r="C49" i="14"/>
  <c r="C48" i="14"/>
  <c r="C47" i="14"/>
  <c r="C46" i="14"/>
  <c r="C45" i="14"/>
  <c r="C44" i="14"/>
  <c r="C43" i="14"/>
  <c r="C42" i="14"/>
  <c r="C41" i="14"/>
  <c r="C40" i="14"/>
  <c r="BW29" i="14"/>
  <c r="BV29" i="14"/>
  <c r="BU29" i="14"/>
  <c r="BT29" i="14"/>
  <c r="BS29" i="14"/>
  <c r="BR29" i="14"/>
  <c r="BP29" i="14"/>
  <c r="BN29" i="14"/>
  <c r="BL29" i="14"/>
  <c r="BJ29" i="14"/>
  <c r="BH29" i="14"/>
  <c r="BF29" i="14"/>
  <c r="BD29" i="14"/>
  <c r="BB29" i="14"/>
  <c r="AZ29" i="14"/>
  <c r="AX29" i="14"/>
  <c r="AV29" i="14"/>
  <c r="AU29" i="14"/>
  <c r="AT29" i="14"/>
  <c r="AR29" i="14"/>
  <c r="AP29" i="14"/>
  <c r="AJ29" i="14"/>
  <c r="AD29" i="14"/>
  <c r="AB29" i="14"/>
  <c r="AA29" i="14"/>
  <c r="Z29" i="14"/>
  <c r="X29" i="14"/>
  <c r="V29" i="14"/>
  <c r="U29" i="14"/>
  <c r="T29" i="14"/>
  <c r="R29" i="14"/>
  <c r="P29" i="14"/>
  <c r="N29" i="14"/>
  <c r="L29" i="14"/>
  <c r="J29" i="14"/>
  <c r="H29" i="14"/>
  <c r="F29" i="14"/>
  <c r="D29" i="14"/>
  <c r="B29" i="14"/>
  <c r="CE29" i="14"/>
  <c r="B43" i="13"/>
  <c r="AQ11" i="15" l="1"/>
  <c r="D69" i="14"/>
  <c r="C43" i="13"/>
  <c r="CF29" i="14"/>
  <c r="I4" i="12" l="1"/>
  <c r="I3" i="12"/>
  <c r="I39" i="11"/>
  <c r="H39" i="11"/>
  <c r="F39" i="11"/>
  <c r="E39" i="11"/>
  <c r="C39" i="11"/>
  <c r="B39" i="11"/>
  <c r="F7" i="10"/>
  <c r="E7" i="10"/>
  <c r="D7" i="10"/>
  <c r="C7" i="10"/>
  <c r="B7" i="10"/>
  <c r="G6" i="10"/>
  <c r="G5" i="10"/>
  <c r="G4" i="10"/>
  <c r="G3" i="10"/>
  <c r="B48" i="9"/>
  <c r="C47" i="9"/>
  <c r="C46" i="9"/>
  <c r="C45" i="9"/>
  <c r="C48" i="9" s="1"/>
  <c r="B41" i="9"/>
  <c r="C40" i="9"/>
  <c r="C39" i="9"/>
  <c r="C38" i="9"/>
  <c r="C37" i="9"/>
  <c r="C36" i="9"/>
  <c r="C35" i="9"/>
  <c r="C34" i="9"/>
  <c r="C33" i="9"/>
  <c r="C32" i="9"/>
  <c r="C41" i="9" s="1"/>
  <c r="J23" i="9"/>
  <c r="H23" i="9"/>
  <c r="D23" i="9"/>
  <c r="B23" i="9"/>
  <c r="L22" i="9"/>
  <c r="M22" i="9" s="1"/>
  <c r="K22" i="9"/>
  <c r="I22" i="9"/>
  <c r="L21" i="9"/>
  <c r="M21" i="9" s="1"/>
  <c r="K21" i="9"/>
  <c r="L20" i="9"/>
  <c r="M20" i="9" s="1"/>
  <c r="K20" i="9"/>
  <c r="L19" i="9"/>
  <c r="M19" i="9" s="1"/>
  <c r="K19" i="9"/>
  <c r="L18" i="9"/>
  <c r="M18" i="9" s="1"/>
  <c r="K18" i="9"/>
  <c r="L17" i="9"/>
  <c r="M17" i="9" s="1"/>
  <c r="K17" i="9"/>
  <c r="I17" i="9"/>
  <c r="L16" i="9"/>
  <c r="M16" i="9" s="1"/>
  <c r="L15" i="9"/>
  <c r="M15" i="9" s="1"/>
  <c r="K15" i="9"/>
  <c r="I15" i="9"/>
  <c r="L14" i="9"/>
  <c r="M14" i="9" s="1"/>
  <c r="K14" i="9"/>
  <c r="L13" i="9"/>
  <c r="M13" i="9" s="1"/>
  <c r="K13" i="9"/>
  <c r="L12" i="9"/>
  <c r="M12" i="9" s="1"/>
  <c r="L11" i="9"/>
  <c r="M11" i="9" s="1"/>
  <c r="K11" i="9"/>
  <c r="M9" i="9"/>
  <c r="K10" i="9"/>
  <c r="I23" i="9"/>
  <c r="L8" i="9"/>
  <c r="M8" i="9" s="1"/>
  <c r="K8" i="9"/>
  <c r="C23" i="9"/>
  <c r="E23" i="9"/>
  <c r="L4" i="9"/>
  <c r="M4" i="9" s="1"/>
  <c r="K4" i="9"/>
  <c r="L3" i="9"/>
  <c r="M3" i="9" s="1"/>
  <c r="K3" i="9"/>
  <c r="K23" i="9" s="1"/>
  <c r="G23" i="9"/>
  <c r="B8" i="8"/>
  <c r="G7" i="10" l="1"/>
  <c r="L23" i="9"/>
  <c r="M23" i="9"/>
  <c r="C8" i="8"/>
  <c r="H7" i="10"/>
  <c r="I5" i="7" l="1"/>
  <c r="I4" i="7"/>
  <c r="I3" i="7"/>
  <c r="I39" i="6"/>
  <c r="H39" i="6"/>
  <c r="F39" i="6"/>
  <c r="E39" i="6"/>
  <c r="C39" i="6"/>
  <c r="B39" i="6"/>
  <c r="W8" i="5"/>
  <c r="V8" i="5"/>
  <c r="P8" i="5"/>
  <c r="N8" i="5"/>
  <c r="L8" i="5"/>
  <c r="J8" i="5"/>
  <c r="I8" i="5"/>
  <c r="H8" i="5"/>
  <c r="F8" i="5"/>
  <c r="D8" i="5"/>
  <c r="B8" i="5"/>
  <c r="O7" i="5"/>
  <c r="M7" i="5"/>
  <c r="G7" i="5"/>
  <c r="E7" i="5"/>
  <c r="O6" i="5"/>
  <c r="M6" i="5"/>
  <c r="K6" i="5"/>
  <c r="G6" i="5"/>
  <c r="E6" i="5"/>
  <c r="C6" i="5"/>
  <c r="Q5" i="5"/>
  <c r="Q8" i="5" s="1"/>
  <c r="O5" i="5"/>
  <c r="O8" i="5" s="1"/>
  <c r="M5" i="5"/>
  <c r="K5" i="5"/>
  <c r="K8" i="5" s="1"/>
  <c r="G5" i="5"/>
  <c r="G8" i="5" s="1"/>
  <c r="E5" i="5"/>
  <c r="E8" i="5" s="1"/>
  <c r="C5" i="5"/>
  <c r="C8" i="5" s="1"/>
  <c r="M4" i="5"/>
  <c r="X8" i="5"/>
  <c r="M3" i="5"/>
  <c r="M8" i="5" s="1"/>
  <c r="V22" i="4"/>
  <c r="P22" i="4"/>
  <c r="N22" i="4"/>
  <c r="L22" i="4"/>
  <c r="J22" i="4"/>
  <c r="H22" i="4"/>
  <c r="F22" i="4"/>
  <c r="D22" i="4"/>
  <c r="B22" i="4"/>
  <c r="W21" i="4"/>
  <c r="W22" i="4" s="1"/>
  <c r="O21" i="4"/>
  <c r="M21" i="4"/>
  <c r="K21" i="4"/>
  <c r="I21" i="4"/>
  <c r="I22" i="4" s="1"/>
  <c r="G21" i="4"/>
  <c r="E21" i="4"/>
  <c r="C21" i="4"/>
  <c r="O20" i="4"/>
  <c r="M20" i="4"/>
  <c r="K20" i="4"/>
  <c r="O19" i="4"/>
  <c r="M19" i="4"/>
  <c r="K19" i="4"/>
  <c r="G19" i="4"/>
  <c r="E19" i="4"/>
  <c r="C19" i="4"/>
  <c r="O18" i="4"/>
  <c r="M18" i="4"/>
  <c r="G18" i="4"/>
  <c r="E18" i="4"/>
  <c r="O17" i="4"/>
  <c r="M17" i="4"/>
  <c r="K17" i="4"/>
  <c r="G17" i="4"/>
  <c r="E17" i="4"/>
  <c r="C17" i="4"/>
  <c r="M16" i="4"/>
  <c r="Q15" i="4"/>
  <c r="Q22" i="4" s="1"/>
  <c r="O15" i="4"/>
  <c r="M15" i="4"/>
  <c r="K15" i="4"/>
  <c r="G15" i="4"/>
  <c r="E15" i="4"/>
  <c r="C15" i="4"/>
  <c r="M14" i="4"/>
  <c r="M13" i="4"/>
  <c r="M12" i="4"/>
  <c r="M11" i="4"/>
  <c r="G11" i="4"/>
  <c r="C11" i="4"/>
  <c r="M10" i="4"/>
  <c r="C10" i="4"/>
  <c r="M9" i="4"/>
  <c r="M8" i="4"/>
  <c r="M7" i="4"/>
  <c r="G7" i="4"/>
  <c r="E7" i="4"/>
  <c r="C7" i="4"/>
  <c r="C22" i="4" s="1"/>
  <c r="M6" i="4"/>
  <c r="G5" i="4"/>
  <c r="G4" i="4"/>
  <c r="X22" i="4"/>
  <c r="M3" i="4"/>
  <c r="M22" i="4" s="1"/>
  <c r="G3" i="4"/>
  <c r="B14" i="3"/>
  <c r="C14" i="3"/>
  <c r="Y8" i="5" l="1"/>
  <c r="G22" i="4"/>
  <c r="E22" i="4"/>
  <c r="K22" i="4"/>
  <c r="Y22" i="4"/>
  <c r="O22" i="4"/>
</calcChain>
</file>

<file path=xl/sharedStrings.xml><?xml version="1.0" encoding="utf-8"?>
<sst xmlns="http://schemas.openxmlformats.org/spreadsheetml/2006/main" count="801" uniqueCount="166">
  <si>
    <t>N</t>
  </si>
  <si>
    <t>%</t>
  </si>
  <si>
    <t>SU 1173*</t>
  </si>
  <si>
    <t>SU 1180</t>
  </si>
  <si>
    <t>SU 1181*</t>
  </si>
  <si>
    <t>SU 1204</t>
  </si>
  <si>
    <t>SU 1205</t>
  </si>
  <si>
    <t>SU 1279=1385*</t>
  </si>
  <si>
    <t>SU 1399</t>
  </si>
  <si>
    <t>SU 1410</t>
  </si>
  <si>
    <t>SU 1440</t>
  </si>
  <si>
    <t>SPECIES</t>
  </si>
  <si>
    <t>TOTAL Phase 1</t>
  </si>
  <si>
    <t>Terrestrial Gastropoda</t>
  </si>
  <si>
    <t>Fresh water Bivalvia</t>
  </si>
  <si>
    <t>Marine Gastropoda</t>
  </si>
  <si>
    <t>Marine Bivalvia</t>
  </si>
  <si>
    <t>Pisces</t>
  </si>
  <si>
    <t>Aves</t>
  </si>
  <si>
    <t>Columba palumbus</t>
  </si>
  <si>
    <t>Corvus corone</t>
  </si>
  <si>
    <t>Gallus gallus</t>
  </si>
  <si>
    <t>Microfauna</t>
  </si>
  <si>
    <t>Homo sapiens</t>
  </si>
  <si>
    <t>Canis familiaris</t>
  </si>
  <si>
    <t>Equus caballus</t>
  </si>
  <si>
    <t>Sus domesticus</t>
  </si>
  <si>
    <t>Ovis aries</t>
  </si>
  <si>
    <t>Ovis vel Capra</t>
  </si>
  <si>
    <t>Bos taurus</t>
  </si>
  <si>
    <t>Medium Mammal</t>
  </si>
  <si>
    <t>Large Ungulate</t>
  </si>
  <si>
    <t>Unidentifiable</t>
  </si>
  <si>
    <t>TOTAL</t>
  </si>
  <si>
    <t>MNI</t>
  </si>
  <si>
    <t>ELEMENT</t>
  </si>
  <si>
    <t>SUS DOMESTICUS</t>
  </si>
  <si>
    <t>OVIS VEL CAPRA</t>
  </si>
  <si>
    <t>BOS TAURUS</t>
  </si>
  <si>
    <t>NISP</t>
  </si>
  <si>
    <t>MNE</t>
  </si>
  <si>
    <t>Horn</t>
  </si>
  <si>
    <t>Cranium 1/2</t>
  </si>
  <si>
    <t>Maxilla 1/2</t>
  </si>
  <si>
    <t>Mandible 1/2</t>
  </si>
  <si>
    <t>Teeth</t>
  </si>
  <si>
    <t>Atlas</t>
  </si>
  <si>
    <t>Axis</t>
  </si>
  <si>
    <t xml:space="preserve">Cerv.Vert. </t>
  </si>
  <si>
    <t xml:space="preserve">Tor.Vert. </t>
  </si>
  <si>
    <t xml:space="preserve">Lumb.Vert. </t>
  </si>
  <si>
    <t xml:space="preserve">Sacr.Vert. </t>
  </si>
  <si>
    <t>Vertebra</t>
  </si>
  <si>
    <t>Rib</t>
  </si>
  <si>
    <t>Scapula</t>
  </si>
  <si>
    <t>Humerus</t>
  </si>
  <si>
    <t>Radius</t>
  </si>
  <si>
    <t>Ulna</t>
  </si>
  <si>
    <t>Pelvis 1/2</t>
  </si>
  <si>
    <t>Femur</t>
  </si>
  <si>
    <t>Patella</t>
  </si>
  <si>
    <t>Tibia</t>
  </si>
  <si>
    <t>Malleolus/Fibula</t>
  </si>
  <si>
    <t>Carpals</t>
  </si>
  <si>
    <t>Astragalus</t>
  </si>
  <si>
    <t>Calcaneum</t>
  </si>
  <si>
    <t>Tarsals</t>
  </si>
  <si>
    <t>Metacarpals</t>
  </si>
  <si>
    <t>Metatarsals</t>
  </si>
  <si>
    <t>Metapodials</t>
  </si>
  <si>
    <t>Phalanx 1</t>
  </si>
  <si>
    <t>Phalanx 2</t>
  </si>
  <si>
    <t>Phalanx 3</t>
  </si>
  <si>
    <t>Sesamoids</t>
  </si>
  <si>
    <t>Total</t>
  </si>
  <si>
    <t>Very
Young</t>
  </si>
  <si>
    <t>Young</t>
  </si>
  <si>
    <t>Young-Adult</t>
  </si>
  <si>
    <t>Prime Adult</t>
  </si>
  <si>
    <t>Older Adult</t>
  </si>
  <si>
    <t>Senile</t>
  </si>
  <si>
    <t>Indet. Adult</t>
  </si>
  <si>
    <t>NR</t>
  </si>
  <si>
    <t>SU 1457</t>
  </si>
  <si>
    <t>SU 5016</t>
  </si>
  <si>
    <t>TOTAL Phase 2</t>
  </si>
  <si>
    <t>Amphibia</t>
  </si>
  <si>
    <t>Corvidae</t>
  </si>
  <si>
    <t>Lagomorpha</t>
  </si>
  <si>
    <t>Small Mammal</t>
  </si>
  <si>
    <t>Mollusca</t>
  </si>
  <si>
    <t>NME</t>
  </si>
  <si>
    <t>NMI</t>
  </si>
  <si>
    <t>Hyoid</t>
  </si>
  <si>
    <t>Caud. Vert.</t>
  </si>
  <si>
    <t>SU 1135=1163</t>
  </si>
  <si>
    <t>SU 1158*</t>
  </si>
  <si>
    <t>SU 1162</t>
  </si>
  <si>
    <t>SU 1165*</t>
  </si>
  <si>
    <t>SU 1168*</t>
  </si>
  <si>
    <t>SU 1169*</t>
  </si>
  <si>
    <t>SU 1174</t>
  </si>
  <si>
    <t>SU 1177*</t>
  </si>
  <si>
    <t>SU 1182</t>
  </si>
  <si>
    <t>SU 1190</t>
  </si>
  <si>
    <t>SU 1199*</t>
  </si>
  <si>
    <t>SU 1203</t>
  </si>
  <si>
    <t>SU 1211</t>
  </si>
  <si>
    <t>SU 1214</t>
  </si>
  <si>
    <t>SU 1218</t>
  </si>
  <si>
    <t>SU 1227*</t>
  </si>
  <si>
    <t>SU 1260</t>
  </si>
  <si>
    <t>SU 1270</t>
  </si>
  <si>
    <t>SU 1271</t>
  </si>
  <si>
    <t>SU 1273</t>
  </si>
  <si>
    <t>SU 1275</t>
  </si>
  <si>
    <t>SU 1320</t>
  </si>
  <si>
    <t>SU 1327</t>
  </si>
  <si>
    <t>SU 1330</t>
  </si>
  <si>
    <t>SU 1340</t>
  </si>
  <si>
    <t>SU 1384</t>
  </si>
  <si>
    <t>SU 1388</t>
  </si>
  <si>
    <t>SU 1401</t>
  </si>
  <si>
    <t>SU 1405</t>
  </si>
  <si>
    <t>SU 1406</t>
  </si>
  <si>
    <t>SU 1412</t>
  </si>
  <si>
    <t>SU 1422</t>
  </si>
  <si>
    <t>SU 1423*</t>
  </si>
  <si>
    <t>SU 1424</t>
  </si>
  <si>
    <t>SU 1428</t>
  </si>
  <si>
    <t>Anguilla anguilla</t>
  </si>
  <si>
    <t>Anas platyrhyncos</t>
  </si>
  <si>
    <t>Vanellus vanellus</t>
  </si>
  <si>
    <t>Vulpes vulpes</t>
  </si>
  <si>
    <t>Equus asinus</t>
  </si>
  <si>
    <t>Cervus elaphus</t>
  </si>
  <si>
    <t>TOTAL Phase 3</t>
  </si>
  <si>
    <t>SU 
1135=1163</t>
  </si>
  <si>
    <t>Sternum</t>
  </si>
  <si>
    <t>SU 1304</t>
  </si>
  <si>
    <t>SU 1408</t>
  </si>
  <si>
    <t>SU 1459*</t>
  </si>
  <si>
    <t>TOTAL Phase 4</t>
  </si>
  <si>
    <t>N%</t>
  </si>
  <si>
    <t>MNI%</t>
  </si>
  <si>
    <t>TOTAL 
Phase 0</t>
  </si>
  <si>
    <t>TOTAL 
Phase 1</t>
  </si>
  <si>
    <t>TOTAL 
Phase 2</t>
  </si>
  <si>
    <t>TOTAL 
Phase 3</t>
  </si>
  <si>
    <t xml:space="preserve">General TOTAL </t>
  </si>
  <si>
    <t>Anas platyrhincos</t>
  </si>
  <si>
    <t>Columba  livia/oenas</t>
  </si>
  <si>
    <t>General TOTAL</t>
  </si>
  <si>
    <t>SU 1386</t>
  </si>
  <si>
    <t>SU 1222</t>
  </si>
  <si>
    <t>SU 1232</t>
  </si>
  <si>
    <t>SU 1465</t>
  </si>
  <si>
    <t>SU 1221*</t>
  </si>
  <si>
    <t>SU 1242*</t>
  </si>
  <si>
    <t>SU 1156*</t>
  </si>
  <si>
    <t>Columba livia/oenas</t>
  </si>
  <si>
    <t>Phase 3</t>
  </si>
  <si>
    <t>Phase 2</t>
  </si>
  <si>
    <t>Phase 4</t>
  </si>
  <si>
    <t>Phase 1</t>
  </si>
  <si>
    <t>Homo Sapiens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</si>
</sst>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i/>
      <sz val="11"/>
      <color theme="1"/>
      <name val="Times New Roman"/>
      <family val="1"/>
    </font>
    <font>
      <b/>
      <i/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4" fillId="0" borderId="0" xfId="0" applyFont="1"/>
    <xf numFmtId="1" fontId="2" fillId="0" borderId="0" xfId="0" applyNumberFormat="1" applyFont="1" applyAlignment="1">
      <alignment horizontal="center"/>
    </xf>
    <xf numFmtId="164" fontId="2" fillId="0" borderId="0" xfId="0" applyNumberFormat="1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0" borderId="0" xfId="0" applyFont="1" applyFill="1"/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2" fontId="2" fillId="0" borderId="0" xfId="0" applyNumberFormat="1" applyFont="1" applyFill="1" applyAlignment="1">
      <alignment horizontal="center"/>
    </xf>
    <xf numFmtId="1" fontId="3" fillId="0" borderId="0" xfId="0" applyNumberFormat="1" applyFont="1" applyAlignment="1">
      <alignment horizontal="center"/>
    </xf>
    <xf numFmtId="2" fontId="2" fillId="0" borderId="0" xfId="0" applyNumberFormat="1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0" fontId="0" fillId="0" borderId="0" xfId="0" applyFill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Fill="1"/>
    <xf numFmtId="164" fontId="2" fillId="0" borderId="0" xfId="0" applyNumberFormat="1" applyFont="1" applyFill="1" applyAlignment="1">
      <alignment horizontal="center"/>
    </xf>
    <xf numFmtId="1" fontId="2" fillId="0" borderId="0" xfId="0" applyNumberFormat="1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1" fontId="0" fillId="0" borderId="0" xfId="0" applyNumberFormat="1" applyFill="1" applyAlignment="1">
      <alignment horizontal="center"/>
    </xf>
    <xf numFmtId="0" fontId="4" fillId="0" borderId="0" xfId="0" applyFont="1" applyFill="1" applyAlignment="1">
      <alignment horizontal="center"/>
    </xf>
    <xf numFmtId="164" fontId="2" fillId="0" borderId="0" xfId="0" applyNumberFormat="1" applyFont="1" applyFill="1"/>
    <xf numFmtId="0" fontId="3" fillId="0" borderId="0" xfId="0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/>
    </xf>
    <xf numFmtId="0" fontId="0" fillId="0" borderId="0" xfId="0" applyFont="1" applyAlignment="1">
      <alignment horizontal="center"/>
    </xf>
    <xf numFmtId="164" fontId="0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8" fillId="0" borderId="0" xfId="0" applyFont="1" applyFill="1" applyAlignment="1"/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1" fontId="6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1" fontId="6" fillId="0" borderId="0" xfId="0" applyNumberFormat="1" applyFont="1" applyFill="1" applyAlignment="1">
      <alignment horizontal="center"/>
    </xf>
    <xf numFmtId="2" fontId="3" fillId="0" borderId="0" xfId="0" applyNumberFormat="1" applyFont="1" applyFill="1" applyAlignment="1">
      <alignment horizontal="center"/>
    </xf>
    <xf numFmtId="2" fontId="3" fillId="0" borderId="0" xfId="0" applyNumberFormat="1" applyFont="1"/>
    <xf numFmtId="0" fontId="3" fillId="0" borderId="0" xfId="0" applyFont="1" applyFill="1" applyAlignment="1">
      <alignment vertic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7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</cellXfs>
  <cellStyles count="2">
    <cellStyle name="Normal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J17" sqref="J17"/>
    </sheetView>
  </sheetViews>
  <sheetFormatPr defaultRowHeight="15" x14ac:dyDescent="0.25"/>
  <cols>
    <col min="1" max="1" width="13.85546875" style="1" bestFit="1" customWidth="1"/>
    <col min="2" max="3" width="9.140625" style="2"/>
    <col min="4" max="16384" width="9.140625" style="1"/>
  </cols>
  <sheetData>
    <row r="1" spans="1:3" ht="18.75" x14ac:dyDescent="0.3">
      <c r="A1" s="65" t="s">
        <v>164</v>
      </c>
      <c r="B1" s="65"/>
      <c r="C1" s="65"/>
    </row>
    <row r="2" spans="1:3" x14ac:dyDescent="0.25">
      <c r="B2" s="51" t="s">
        <v>0</v>
      </c>
      <c r="C2" s="51" t="s">
        <v>1</v>
      </c>
    </row>
    <row r="3" spans="1:3" x14ac:dyDescent="0.25">
      <c r="A3" s="1" t="s">
        <v>2</v>
      </c>
      <c r="B3" s="2">
        <v>114</v>
      </c>
      <c r="C3" s="3">
        <f>B3/773%</f>
        <v>14.747736093143596</v>
      </c>
    </row>
    <row r="4" spans="1:3" x14ac:dyDescent="0.25">
      <c r="A4" s="1" t="s">
        <v>3</v>
      </c>
      <c r="B4" s="2">
        <v>6</v>
      </c>
      <c r="C4" s="3">
        <f t="shared" ref="C4:C13" si="0">B4/773%</f>
        <v>0.77619663648124182</v>
      </c>
    </row>
    <row r="5" spans="1:3" x14ac:dyDescent="0.25">
      <c r="A5" s="1" t="s">
        <v>4</v>
      </c>
      <c r="B5" s="2">
        <v>89</v>
      </c>
      <c r="C5" s="3">
        <f t="shared" si="0"/>
        <v>11.513583441138421</v>
      </c>
    </row>
    <row r="6" spans="1:3" x14ac:dyDescent="0.25">
      <c r="A6" s="1" t="s">
        <v>5</v>
      </c>
      <c r="B6" s="2">
        <v>1</v>
      </c>
      <c r="C6" s="3">
        <f t="shared" si="0"/>
        <v>0.12936610608020699</v>
      </c>
    </row>
    <row r="7" spans="1:3" x14ac:dyDescent="0.25">
      <c r="A7" s="1" t="s">
        <v>6</v>
      </c>
      <c r="B7" s="2">
        <v>15</v>
      </c>
      <c r="C7" s="3">
        <f t="shared" si="0"/>
        <v>1.9404915912031047</v>
      </c>
    </row>
    <row r="8" spans="1:3" x14ac:dyDescent="0.25">
      <c r="A8" s="1" t="s">
        <v>7</v>
      </c>
      <c r="B8" s="2">
        <v>431</v>
      </c>
      <c r="C8" s="3">
        <f t="shared" si="0"/>
        <v>55.756791720569211</v>
      </c>
    </row>
    <row r="9" spans="1:3" x14ac:dyDescent="0.25">
      <c r="A9" s="1" t="s">
        <v>8</v>
      </c>
      <c r="B9" s="2">
        <v>35</v>
      </c>
      <c r="C9" s="3">
        <f t="shared" si="0"/>
        <v>4.5278137128072444</v>
      </c>
    </row>
    <row r="10" spans="1:3" x14ac:dyDescent="0.25">
      <c r="A10" s="1" t="s">
        <v>9</v>
      </c>
      <c r="B10" s="2">
        <v>1</v>
      </c>
      <c r="C10" s="3">
        <f t="shared" si="0"/>
        <v>0.12936610608020699</v>
      </c>
    </row>
    <row r="11" spans="1:3" x14ac:dyDescent="0.25">
      <c r="A11" t="s">
        <v>128</v>
      </c>
      <c r="B11" s="17">
        <v>11</v>
      </c>
      <c r="C11" s="3">
        <f t="shared" si="0"/>
        <v>1.4230271668822767</v>
      </c>
    </row>
    <row r="12" spans="1:3" x14ac:dyDescent="0.25">
      <c r="A12" t="s">
        <v>129</v>
      </c>
      <c r="B12" s="17">
        <v>69</v>
      </c>
      <c r="C12" s="3">
        <f t="shared" si="0"/>
        <v>8.9262613195342819</v>
      </c>
    </row>
    <row r="13" spans="1:3" x14ac:dyDescent="0.25">
      <c r="A13" s="1" t="s">
        <v>10</v>
      </c>
      <c r="B13" s="2">
        <v>1</v>
      </c>
      <c r="C13" s="3">
        <f t="shared" si="0"/>
        <v>0.12936610608020699</v>
      </c>
    </row>
    <row r="14" spans="1:3" s="4" customFormat="1" ht="14.25" x14ac:dyDescent="0.2">
      <c r="A14" s="4" t="s">
        <v>33</v>
      </c>
      <c r="B14" s="40">
        <f>SUM(B3:B13)</f>
        <v>773</v>
      </c>
      <c r="C14" s="40">
        <f>SUM(C3:C13)</f>
        <v>100</v>
      </c>
    </row>
    <row r="17" spans="1:1" s="2" customFormat="1" x14ac:dyDescent="0.25">
      <c r="A17" s="1"/>
    </row>
  </sheetData>
  <mergeCells count="1">
    <mergeCell ref="A1:C1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workbookViewId="0">
      <selection activeCell="D8" sqref="D8"/>
    </sheetView>
  </sheetViews>
  <sheetFormatPr defaultRowHeight="15" x14ac:dyDescent="0.25"/>
  <cols>
    <col min="1" max="1" width="15.140625" style="16" bestFit="1" customWidth="1"/>
    <col min="2" max="7" width="9.140625" style="2"/>
    <col min="8" max="9" width="9.140625" style="1"/>
    <col min="10" max="10" width="19.28515625" style="1" bestFit="1" customWidth="1"/>
    <col min="11" max="16384" width="9.140625" style="1"/>
  </cols>
  <sheetData>
    <row r="1" spans="1:11" ht="18.75" x14ac:dyDescent="0.3">
      <c r="A1" s="65" t="s">
        <v>162</v>
      </c>
      <c r="B1" s="65"/>
      <c r="C1" s="65"/>
      <c r="D1" s="65"/>
      <c r="E1" s="65"/>
      <c r="F1" s="65"/>
      <c r="G1" s="65"/>
      <c r="H1" s="65"/>
      <c r="I1" s="65"/>
    </row>
    <row r="2" spans="1:11" s="13" customFormat="1" ht="28.5" x14ac:dyDescent="0.25">
      <c r="A2" s="41" t="s">
        <v>11</v>
      </c>
      <c r="B2" s="36" t="s">
        <v>75</v>
      </c>
      <c r="C2" s="12" t="s">
        <v>76</v>
      </c>
      <c r="D2" s="36" t="s">
        <v>77</v>
      </c>
      <c r="E2" s="36" t="s">
        <v>78</v>
      </c>
      <c r="F2" s="36" t="s">
        <v>79</v>
      </c>
      <c r="G2" s="12" t="s">
        <v>80</v>
      </c>
      <c r="H2" s="36" t="s">
        <v>81</v>
      </c>
      <c r="I2" s="12" t="s">
        <v>74</v>
      </c>
    </row>
    <row r="3" spans="1:11" x14ac:dyDescent="0.25">
      <c r="A3" s="14" t="s">
        <v>26</v>
      </c>
      <c r="B3" s="2">
        <v>2</v>
      </c>
      <c r="C3" s="2">
        <v>3</v>
      </c>
      <c r="D3" s="2">
        <v>2</v>
      </c>
      <c r="E3" s="15">
        <v>2</v>
      </c>
      <c r="F3" s="2">
        <v>1</v>
      </c>
      <c r="G3" s="2">
        <v>2</v>
      </c>
      <c r="H3" s="2">
        <v>2</v>
      </c>
      <c r="I3" s="51">
        <f>SUM(B3:H3)</f>
        <v>14</v>
      </c>
    </row>
    <row r="4" spans="1:11" x14ac:dyDescent="0.25">
      <c r="A4" s="14" t="s">
        <v>28</v>
      </c>
      <c r="B4" s="2">
        <v>2</v>
      </c>
      <c r="C4" s="2">
        <v>2</v>
      </c>
      <c r="D4" s="2">
        <v>1</v>
      </c>
      <c r="E4" s="2">
        <v>2</v>
      </c>
      <c r="F4" s="2">
        <v>5</v>
      </c>
      <c r="H4" s="2"/>
      <c r="I4" s="51">
        <f t="shared" ref="I4:I5" si="0">SUM(B4:H4)</f>
        <v>12</v>
      </c>
    </row>
    <row r="5" spans="1:11" x14ac:dyDescent="0.25">
      <c r="A5" s="14" t="s">
        <v>29</v>
      </c>
      <c r="C5" s="2">
        <v>1</v>
      </c>
      <c r="D5" s="2">
        <v>1</v>
      </c>
      <c r="E5" s="2">
        <v>1</v>
      </c>
      <c r="F5" s="2">
        <v>1</v>
      </c>
      <c r="G5" s="2">
        <v>1</v>
      </c>
      <c r="H5" s="2">
        <v>2</v>
      </c>
      <c r="I5" s="51">
        <f t="shared" si="0"/>
        <v>7</v>
      </c>
      <c r="K5" s="2"/>
    </row>
  </sheetData>
  <mergeCells count="1">
    <mergeCell ref="A1:I1"/>
  </mergeCells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topLeftCell="A17" workbookViewId="0">
      <selection activeCell="C43" sqref="C43"/>
    </sheetView>
  </sheetViews>
  <sheetFormatPr defaultRowHeight="15" x14ac:dyDescent="0.25"/>
  <cols>
    <col min="1" max="1" width="13.85546875" style="1" bestFit="1" customWidth="1"/>
    <col min="2" max="3" width="9.140625" style="2"/>
    <col min="4" max="16384" width="9.140625" style="1"/>
  </cols>
  <sheetData>
    <row r="1" spans="1:10" ht="20.25" x14ac:dyDescent="0.3">
      <c r="A1" s="65" t="s">
        <v>161</v>
      </c>
      <c r="B1" s="65"/>
      <c r="C1" s="65"/>
      <c r="D1" s="56"/>
      <c r="E1" s="56"/>
      <c r="F1" s="56"/>
      <c r="G1" s="56"/>
      <c r="H1" s="56"/>
      <c r="I1" s="56"/>
      <c r="J1" s="56"/>
    </row>
    <row r="2" spans="1:10" s="4" customFormat="1" ht="14.25" x14ac:dyDescent="0.2">
      <c r="B2" s="40" t="s">
        <v>82</v>
      </c>
      <c r="C2" s="40" t="s">
        <v>1</v>
      </c>
    </row>
    <row r="3" spans="1:10" x14ac:dyDescent="0.25">
      <c r="A3" s="1" t="s">
        <v>95</v>
      </c>
      <c r="B3" s="2">
        <v>33</v>
      </c>
      <c r="C3" s="3">
        <f>B3/2225%</f>
        <v>1.4831460674157304</v>
      </c>
    </row>
    <row r="4" spans="1:10" x14ac:dyDescent="0.25">
      <c r="A4" s="1" t="s">
        <v>159</v>
      </c>
      <c r="B4" s="2">
        <v>58</v>
      </c>
      <c r="C4" s="3">
        <f t="shared" ref="C4:C42" si="0">B4/2225%</f>
        <v>2.606741573033708</v>
      </c>
    </row>
    <row r="5" spans="1:10" x14ac:dyDescent="0.25">
      <c r="A5" s="1" t="s">
        <v>96</v>
      </c>
      <c r="B5" s="2">
        <v>231</v>
      </c>
      <c r="C5" s="3">
        <f t="shared" si="0"/>
        <v>10.382022471910112</v>
      </c>
    </row>
    <row r="6" spans="1:10" x14ac:dyDescent="0.25">
      <c r="A6" s="1" t="s">
        <v>97</v>
      </c>
      <c r="B6" s="2">
        <v>2</v>
      </c>
      <c r="C6" s="22">
        <f t="shared" si="0"/>
        <v>8.98876404494382E-2</v>
      </c>
    </row>
    <row r="7" spans="1:10" x14ac:dyDescent="0.25">
      <c r="A7" s="1" t="s">
        <v>98</v>
      </c>
      <c r="B7" s="2">
        <v>291</v>
      </c>
      <c r="C7" s="3">
        <f t="shared" si="0"/>
        <v>13.078651685393259</v>
      </c>
    </row>
    <row r="8" spans="1:10" x14ac:dyDescent="0.25">
      <c r="A8" s="1" t="s">
        <v>99</v>
      </c>
      <c r="B8" s="2">
        <v>135</v>
      </c>
      <c r="C8" s="3">
        <f t="shared" si="0"/>
        <v>6.0674157303370784</v>
      </c>
    </row>
    <row r="9" spans="1:10" x14ac:dyDescent="0.25">
      <c r="A9" s="1" t="s">
        <v>100</v>
      </c>
      <c r="B9" s="2">
        <v>114</v>
      </c>
      <c r="C9" s="3">
        <f t="shared" si="0"/>
        <v>5.1235955056179776</v>
      </c>
    </row>
    <row r="10" spans="1:10" x14ac:dyDescent="0.25">
      <c r="A10" s="1" t="s">
        <v>101</v>
      </c>
      <c r="B10" s="2">
        <v>32</v>
      </c>
      <c r="C10" s="3">
        <f t="shared" si="0"/>
        <v>1.4382022471910112</v>
      </c>
    </row>
    <row r="11" spans="1:10" x14ac:dyDescent="0.25">
      <c r="A11" s="1" t="s">
        <v>102</v>
      </c>
      <c r="B11" s="2">
        <v>109</v>
      </c>
      <c r="C11" s="3">
        <f t="shared" si="0"/>
        <v>4.8988764044943824</v>
      </c>
    </row>
    <row r="12" spans="1:10" x14ac:dyDescent="0.25">
      <c r="A12" s="1" t="s">
        <v>104</v>
      </c>
      <c r="B12" s="2">
        <v>3</v>
      </c>
      <c r="C12" s="22">
        <f t="shared" si="0"/>
        <v>0.1348314606741573</v>
      </c>
    </row>
    <row r="13" spans="1:10" x14ac:dyDescent="0.25">
      <c r="A13" s="1" t="s">
        <v>105</v>
      </c>
      <c r="B13" s="2">
        <v>88</v>
      </c>
      <c r="C13" s="3">
        <f t="shared" si="0"/>
        <v>3.9550561797752808</v>
      </c>
    </row>
    <row r="14" spans="1:10" x14ac:dyDescent="0.25">
      <c r="A14" s="1" t="s">
        <v>106</v>
      </c>
      <c r="B14" s="2">
        <v>11</v>
      </c>
      <c r="C14" s="3">
        <f t="shared" si="0"/>
        <v>0.4943820224719101</v>
      </c>
    </row>
    <row r="15" spans="1:10" x14ac:dyDescent="0.25">
      <c r="A15" s="1" t="s">
        <v>107</v>
      </c>
      <c r="B15" s="2">
        <v>1</v>
      </c>
      <c r="C15" s="22">
        <f t="shared" si="0"/>
        <v>4.49438202247191E-2</v>
      </c>
    </row>
    <row r="16" spans="1:10" x14ac:dyDescent="0.25">
      <c r="A16" s="1" t="s">
        <v>108</v>
      </c>
      <c r="B16" s="2">
        <v>13</v>
      </c>
      <c r="C16" s="3">
        <f t="shared" si="0"/>
        <v>0.5842696629213483</v>
      </c>
    </row>
    <row r="17" spans="1:3" x14ac:dyDescent="0.25">
      <c r="A17" s="1" t="s">
        <v>109</v>
      </c>
      <c r="B17" s="2">
        <v>67</v>
      </c>
      <c r="C17" s="3">
        <f t="shared" si="0"/>
        <v>3.0112359550561796</v>
      </c>
    </row>
    <row r="18" spans="1:3" x14ac:dyDescent="0.25">
      <c r="A18" s="1" t="s">
        <v>157</v>
      </c>
      <c r="B18" s="2">
        <v>44</v>
      </c>
      <c r="C18" s="3">
        <f t="shared" si="0"/>
        <v>1.9775280898876404</v>
      </c>
    </row>
    <row r="19" spans="1:3" x14ac:dyDescent="0.25">
      <c r="A19" s="1" t="s">
        <v>154</v>
      </c>
      <c r="B19" s="2">
        <v>20</v>
      </c>
      <c r="C19" s="3">
        <f t="shared" si="0"/>
        <v>0.898876404494382</v>
      </c>
    </row>
    <row r="20" spans="1:3" x14ac:dyDescent="0.25">
      <c r="A20" s="1" t="s">
        <v>110</v>
      </c>
      <c r="B20" s="2">
        <v>57</v>
      </c>
      <c r="C20" s="3">
        <f t="shared" si="0"/>
        <v>2.5617977528089888</v>
      </c>
    </row>
    <row r="21" spans="1:3" x14ac:dyDescent="0.25">
      <c r="A21" s="1" t="s">
        <v>155</v>
      </c>
      <c r="B21" s="2">
        <v>19</v>
      </c>
      <c r="C21" s="3">
        <f t="shared" si="0"/>
        <v>0.8539325842696629</v>
      </c>
    </row>
    <row r="22" spans="1:3" x14ac:dyDescent="0.25">
      <c r="A22" s="1" t="s">
        <v>158</v>
      </c>
      <c r="B22" s="2">
        <v>51</v>
      </c>
      <c r="C22" s="3">
        <f t="shared" si="0"/>
        <v>2.292134831460674</v>
      </c>
    </row>
    <row r="23" spans="1:3" x14ac:dyDescent="0.25">
      <c r="A23" s="1" t="s">
        <v>111</v>
      </c>
      <c r="B23" s="2">
        <v>3</v>
      </c>
      <c r="C23" s="22">
        <f t="shared" si="0"/>
        <v>0.1348314606741573</v>
      </c>
    </row>
    <row r="24" spans="1:3" x14ac:dyDescent="0.25">
      <c r="A24" s="1" t="s">
        <v>112</v>
      </c>
      <c r="B24" s="2">
        <v>5</v>
      </c>
      <c r="C24" s="3">
        <f t="shared" si="0"/>
        <v>0.2247191011235955</v>
      </c>
    </row>
    <row r="25" spans="1:3" x14ac:dyDescent="0.25">
      <c r="A25" s="1" t="s">
        <v>113</v>
      </c>
      <c r="B25" s="2">
        <v>1</v>
      </c>
      <c r="C25" s="22">
        <f t="shared" si="0"/>
        <v>4.49438202247191E-2</v>
      </c>
    </row>
    <row r="26" spans="1:3" x14ac:dyDescent="0.25">
      <c r="A26" s="1" t="s">
        <v>114</v>
      </c>
      <c r="B26" s="2">
        <v>18</v>
      </c>
      <c r="C26" s="3">
        <f t="shared" si="0"/>
        <v>0.8089887640449438</v>
      </c>
    </row>
    <row r="27" spans="1:3" x14ac:dyDescent="0.25">
      <c r="A27" s="1" t="s">
        <v>115</v>
      </c>
      <c r="B27" s="2">
        <v>9</v>
      </c>
      <c r="C27" s="3">
        <f t="shared" si="0"/>
        <v>0.4044943820224719</v>
      </c>
    </row>
    <row r="28" spans="1:3" x14ac:dyDescent="0.25">
      <c r="A28" s="1" t="s">
        <v>116</v>
      </c>
      <c r="B28" s="2">
        <v>172</v>
      </c>
      <c r="C28" s="3">
        <f t="shared" si="0"/>
        <v>7.7303370786516856</v>
      </c>
    </row>
    <row r="29" spans="1:3" x14ac:dyDescent="0.25">
      <c r="A29" s="1" t="s">
        <v>117</v>
      </c>
      <c r="B29" s="2">
        <v>400</v>
      </c>
      <c r="C29" s="3">
        <f t="shared" si="0"/>
        <v>17.977528089887642</v>
      </c>
    </row>
    <row r="30" spans="1:3" x14ac:dyDescent="0.25">
      <c r="A30" s="1" t="s">
        <v>118</v>
      </c>
      <c r="B30" s="2">
        <v>1</v>
      </c>
      <c r="C30" s="22">
        <f t="shared" si="0"/>
        <v>4.49438202247191E-2</v>
      </c>
    </row>
    <row r="31" spans="1:3" x14ac:dyDescent="0.25">
      <c r="A31" s="1" t="s">
        <v>119</v>
      </c>
      <c r="B31" s="2">
        <v>128</v>
      </c>
      <c r="C31" s="3">
        <f t="shared" si="0"/>
        <v>5.7528089887640448</v>
      </c>
    </row>
    <row r="32" spans="1:3" x14ac:dyDescent="0.25">
      <c r="A32" s="1" t="s">
        <v>120</v>
      </c>
      <c r="B32" s="2">
        <v>4</v>
      </c>
      <c r="C32" s="3">
        <f t="shared" si="0"/>
        <v>0.1797752808988764</v>
      </c>
    </row>
    <row r="33" spans="1:3" x14ac:dyDescent="0.25">
      <c r="A33" s="1" t="s">
        <v>121</v>
      </c>
      <c r="B33" s="2">
        <v>17</v>
      </c>
      <c r="C33" s="3">
        <f t="shared" si="0"/>
        <v>0.7640449438202247</v>
      </c>
    </row>
    <row r="34" spans="1:3" x14ac:dyDescent="0.25">
      <c r="A34" s="1" t="s">
        <v>122</v>
      </c>
      <c r="B34" s="2">
        <v>17</v>
      </c>
      <c r="C34" s="3">
        <f t="shared" si="0"/>
        <v>0.7640449438202247</v>
      </c>
    </row>
    <row r="35" spans="1:3" x14ac:dyDescent="0.25">
      <c r="A35" s="1" t="s">
        <v>123</v>
      </c>
      <c r="B35" s="2">
        <v>9</v>
      </c>
      <c r="C35" s="3">
        <f t="shared" si="0"/>
        <v>0.4044943820224719</v>
      </c>
    </row>
    <row r="36" spans="1:3" x14ac:dyDescent="0.25">
      <c r="A36" s="1" t="s">
        <v>124</v>
      </c>
      <c r="B36" s="2">
        <v>16</v>
      </c>
      <c r="C36" s="3">
        <f t="shared" si="0"/>
        <v>0.7191011235955056</v>
      </c>
    </row>
    <row r="37" spans="1:3" x14ac:dyDescent="0.25">
      <c r="A37" s="1" t="s">
        <v>125</v>
      </c>
      <c r="B37" s="2">
        <v>33</v>
      </c>
      <c r="C37" s="3">
        <f t="shared" si="0"/>
        <v>1.4831460674157304</v>
      </c>
    </row>
    <row r="38" spans="1:3" x14ac:dyDescent="0.25">
      <c r="A38" s="1" t="s">
        <v>126</v>
      </c>
      <c r="B38" s="2">
        <v>11</v>
      </c>
      <c r="C38" s="3">
        <f t="shared" si="0"/>
        <v>0.4943820224719101</v>
      </c>
    </row>
    <row r="39" spans="1:3" x14ac:dyDescent="0.25">
      <c r="A39" s="1" t="s">
        <v>139</v>
      </c>
      <c r="B39" s="2">
        <v>17</v>
      </c>
      <c r="C39" s="3">
        <f>B39/66%</f>
        <v>25.757575757575758</v>
      </c>
    </row>
    <row r="40" spans="1:3" s="4" customFormat="1" x14ac:dyDescent="0.25">
      <c r="A40" s="1" t="s">
        <v>140</v>
      </c>
      <c r="B40" s="2">
        <v>4</v>
      </c>
      <c r="C40" s="3">
        <f t="shared" ref="C40:C41" si="1">B40/66%</f>
        <v>6.0606060606060606</v>
      </c>
    </row>
    <row r="41" spans="1:3" x14ac:dyDescent="0.25">
      <c r="A41" s="1" t="s">
        <v>141</v>
      </c>
      <c r="B41" s="2">
        <v>45</v>
      </c>
      <c r="C41" s="3">
        <f t="shared" si="1"/>
        <v>68.181818181818173</v>
      </c>
    </row>
    <row r="42" spans="1:3" x14ac:dyDescent="0.25">
      <c r="A42" s="1" t="s">
        <v>156</v>
      </c>
      <c r="B42" s="2">
        <v>2</v>
      </c>
      <c r="C42" s="22">
        <f t="shared" si="0"/>
        <v>8.98876404494382E-2</v>
      </c>
    </row>
    <row r="43" spans="1:3" x14ac:dyDescent="0.25">
      <c r="A43" s="4" t="s">
        <v>33</v>
      </c>
      <c r="B43" s="51">
        <f>SUM(B3:B42)</f>
        <v>2291</v>
      </c>
      <c r="C43" s="51">
        <f>SUM(C3:C42)</f>
        <v>200</v>
      </c>
    </row>
  </sheetData>
  <mergeCells count="1">
    <mergeCell ref="A1:C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69"/>
  <sheetViews>
    <sheetView topLeftCell="A7" zoomScale="60" zoomScaleNormal="60" workbookViewId="0">
      <pane xSplit="1" topLeftCell="BH1" activePane="topRight" state="frozen"/>
      <selection pane="topRight" activeCell="BY29" sqref="BY29"/>
    </sheetView>
  </sheetViews>
  <sheetFormatPr defaultRowHeight="15" x14ac:dyDescent="0.25"/>
  <cols>
    <col min="1" max="1" width="24.42578125" style="1" bestFit="1" customWidth="1"/>
    <col min="2" max="73" width="7.7109375" style="2" customWidth="1"/>
    <col min="74" max="74" width="7.7109375" style="21" customWidth="1"/>
    <col min="75" max="75" width="7.7109375" style="2" customWidth="1"/>
    <col min="76" max="76" width="9.7109375" style="18" customWidth="1"/>
    <col min="77" max="77" width="9.7109375" style="4" customWidth="1"/>
    <col min="78" max="16384" width="9.140625" style="1"/>
  </cols>
  <sheetData>
    <row r="1" spans="1:84" s="4" customFormat="1" x14ac:dyDescent="0.25">
      <c r="A1" s="67" t="s">
        <v>11</v>
      </c>
      <c r="B1" s="72" t="s">
        <v>95</v>
      </c>
      <c r="C1" s="72"/>
      <c r="D1" s="72" t="s">
        <v>159</v>
      </c>
      <c r="E1" s="72"/>
      <c r="F1" s="72" t="s">
        <v>96</v>
      </c>
      <c r="G1" s="72"/>
      <c r="H1" s="72" t="s">
        <v>97</v>
      </c>
      <c r="I1" s="72"/>
      <c r="J1" s="72" t="s">
        <v>98</v>
      </c>
      <c r="K1" s="72"/>
      <c r="L1" s="72" t="s">
        <v>99</v>
      </c>
      <c r="M1" s="72"/>
      <c r="N1" s="72" t="s">
        <v>100</v>
      </c>
      <c r="O1" s="72"/>
      <c r="P1" s="72" t="s">
        <v>101</v>
      </c>
      <c r="Q1" s="72"/>
      <c r="R1" s="72" t="s">
        <v>102</v>
      </c>
      <c r="S1" s="72"/>
      <c r="T1" s="72" t="s">
        <v>104</v>
      </c>
      <c r="U1" s="72"/>
      <c r="V1" s="72" t="s">
        <v>105</v>
      </c>
      <c r="W1" s="72"/>
      <c r="X1" s="72" t="s">
        <v>106</v>
      </c>
      <c r="Y1" s="72"/>
      <c r="Z1" s="72" t="s">
        <v>107</v>
      </c>
      <c r="AA1" s="72"/>
      <c r="AB1" s="72" t="s">
        <v>108</v>
      </c>
      <c r="AC1" s="72"/>
      <c r="AD1" s="72" t="s">
        <v>109</v>
      </c>
      <c r="AE1" s="72"/>
      <c r="AF1" s="72" t="s">
        <v>157</v>
      </c>
      <c r="AG1" s="72"/>
      <c r="AH1" s="72" t="s">
        <v>154</v>
      </c>
      <c r="AI1" s="72"/>
      <c r="AJ1" s="72" t="s">
        <v>110</v>
      </c>
      <c r="AK1" s="72"/>
      <c r="AL1" s="72" t="s">
        <v>155</v>
      </c>
      <c r="AM1" s="72"/>
      <c r="AN1" s="72" t="s">
        <v>158</v>
      </c>
      <c r="AO1" s="72"/>
      <c r="AP1" s="72" t="s">
        <v>111</v>
      </c>
      <c r="AQ1" s="72"/>
      <c r="AR1" s="72" t="s">
        <v>112</v>
      </c>
      <c r="AS1" s="72"/>
      <c r="AT1" s="72" t="s">
        <v>113</v>
      </c>
      <c r="AU1" s="72"/>
      <c r="AV1" s="72" t="s">
        <v>114</v>
      </c>
      <c r="AW1" s="72"/>
      <c r="AX1" s="72" t="s">
        <v>115</v>
      </c>
      <c r="AY1" s="72"/>
      <c r="AZ1" s="72" t="s">
        <v>116</v>
      </c>
      <c r="BA1" s="72"/>
      <c r="BB1" s="72" t="s">
        <v>117</v>
      </c>
      <c r="BC1" s="72"/>
      <c r="BD1" s="72" t="s">
        <v>118</v>
      </c>
      <c r="BE1" s="72"/>
      <c r="BF1" s="18" t="s">
        <v>119</v>
      </c>
      <c r="BG1" s="18"/>
      <c r="BH1" s="18" t="s">
        <v>120</v>
      </c>
      <c r="BI1" s="18"/>
      <c r="BJ1" s="18" t="s">
        <v>121</v>
      </c>
      <c r="BK1" s="18"/>
      <c r="BL1" s="18" t="s">
        <v>122</v>
      </c>
      <c r="BM1" s="18"/>
      <c r="BN1" s="72" t="s">
        <v>123</v>
      </c>
      <c r="BO1" s="72"/>
      <c r="BP1" s="72" t="s">
        <v>124</v>
      </c>
      <c r="BQ1" s="72"/>
      <c r="BR1" s="72" t="s">
        <v>125</v>
      </c>
      <c r="BS1" s="72"/>
      <c r="BT1" s="72" t="s">
        <v>126</v>
      </c>
      <c r="BU1" s="72"/>
      <c r="BV1" s="72" t="s">
        <v>156</v>
      </c>
      <c r="BW1" s="72"/>
      <c r="BX1" s="66" t="s">
        <v>139</v>
      </c>
      <c r="BY1" s="66"/>
      <c r="BZ1" s="66" t="s">
        <v>140</v>
      </c>
      <c r="CA1" s="66"/>
      <c r="CB1" s="66" t="s">
        <v>141</v>
      </c>
      <c r="CC1" s="66"/>
      <c r="CE1" s="66" t="s">
        <v>136</v>
      </c>
      <c r="CF1" s="66"/>
    </row>
    <row r="2" spans="1:84" s="4" customFormat="1" ht="14.25" x14ac:dyDescent="0.2">
      <c r="A2" s="67"/>
      <c r="B2" s="5" t="s">
        <v>0</v>
      </c>
      <c r="C2" s="5" t="s">
        <v>1</v>
      </c>
      <c r="D2" s="5" t="s">
        <v>0</v>
      </c>
      <c r="E2" s="5" t="s">
        <v>1</v>
      </c>
      <c r="F2" s="5" t="s">
        <v>0</v>
      </c>
      <c r="G2" s="5" t="s">
        <v>1</v>
      </c>
      <c r="H2" s="5" t="s">
        <v>0</v>
      </c>
      <c r="I2" s="5" t="s">
        <v>1</v>
      </c>
      <c r="J2" s="5" t="s">
        <v>0</v>
      </c>
      <c r="K2" s="5" t="s">
        <v>1</v>
      </c>
      <c r="L2" s="5" t="s">
        <v>0</v>
      </c>
      <c r="M2" s="5" t="s">
        <v>1</v>
      </c>
      <c r="N2" s="5" t="s">
        <v>0</v>
      </c>
      <c r="O2" s="5" t="s">
        <v>1</v>
      </c>
      <c r="P2" s="5" t="s">
        <v>0</v>
      </c>
      <c r="Q2" s="5" t="s">
        <v>1</v>
      </c>
      <c r="R2" s="5" t="s">
        <v>0</v>
      </c>
      <c r="S2" s="5" t="s">
        <v>1</v>
      </c>
      <c r="T2" s="5" t="s">
        <v>0</v>
      </c>
      <c r="U2" s="5" t="s">
        <v>1</v>
      </c>
      <c r="V2" s="5" t="s">
        <v>0</v>
      </c>
      <c r="W2" s="5" t="s">
        <v>1</v>
      </c>
      <c r="X2" s="5" t="s">
        <v>0</v>
      </c>
      <c r="Y2" s="5" t="s">
        <v>1</v>
      </c>
      <c r="Z2" s="5" t="s">
        <v>0</v>
      </c>
      <c r="AA2" s="5" t="s">
        <v>1</v>
      </c>
      <c r="AB2" s="5" t="s">
        <v>0</v>
      </c>
      <c r="AC2" s="5" t="s">
        <v>1</v>
      </c>
      <c r="AD2" s="5" t="s">
        <v>0</v>
      </c>
      <c r="AE2" s="5" t="s">
        <v>1</v>
      </c>
      <c r="AF2" s="33" t="s">
        <v>0</v>
      </c>
      <c r="AG2" s="33" t="s">
        <v>1</v>
      </c>
      <c r="AH2" s="33" t="s">
        <v>0</v>
      </c>
      <c r="AI2" s="33" t="s">
        <v>1</v>
      </c>
      <c r="AJ2" s="5" t="s">
        <v>0</v>
      </c>
      <c r="AK2" s="5" t="s">
        <v>1</v>
      </c>
      <c r="AL2" s="33" t="s">
        <v>0</v>
      </c>
      <c r="AM2" s="33" t="s">
        <v>1</v>
      </c>
      <c r="AN2" s="33" t="s">
        <v>0</v>
      </c>
      <c r="AO2" s="33" t="s">
        <v>1</v>
      </c>
      <c r="AP2" s="5" t="s">
        <v>0</v>
      </c>
      <c r="AQ2" s="5" t="s">
        <v>1</v>
      </c>
      <c r="AR2" s="5" t="s">
        <v>0</v>
      </c>
      <c r="AS2" s="5" t="s">
        <v>1</v>
      </c>
      <c r="AT2" s="5" t="s">
        <v>0</v>
      </c>
      <c r="AU2" s="5" t="s">
        <v>1</v>
      </c>
      <c r="AV2" s="5" t="s">
        <v>0</v>
      </c>
      <c r="AW2" s="5" t="s">
        <v>1</v>
      </c>
      <c r="AX2" s="5" t="s">
        <v>0</v>
      </c>
      <c r="AY2" s="5" t="s">
        <v>1</v>
      </c>
      <c r="AZ2" s="5" t="s">
        <v>0</v>
      </c>
      <c r="BA2" s="5" t="s">
        <v>1</v>
      </c>
      <c r="BB2" s="5" t="s">
        <v>0</v>
      </c>
      <c r="BC2" s="5" t="s">
        <v>1</v>
      </c>
      <c r="BD2" s="5" t="s">
        <v>0</v>
      </c>
      <c r="BE2" s="5" t="s">
        <v>1</v>
      </c>
      <c r="BF2" s="5" t="s">
        <v>0</v>
      </c>
      <c r="BG2" s="5" t="s">
        <v>1</v>
      </c>
      <c r="BH2" s="5" t="s">
        <v>0</v>
      </c>
      <c r="BI2" s="5" t="s">
        <v>1</v>
      </c>
      <c r="BJ2" s="5" t="s">
        <v>0</v>
      </c>
      <c r="BK2" s="5" t="s">
        <v>1</v>
      </c>
      <c r="BL2" s="5" t="s">
        <v>0</v>
      </c>
      <c r="BM2" s="5" t="s">
        <v>1</v>
      </c>
      <c r="BN2" s="5" t="s">
        <v>0</v>
      </c>
      <c r="BO2" s="5" t="s">
        <v>1</v>
      </c>
      <c r="BP2" s="5" t="s">
        <v>0</v>
      </c>
      <c r="BQ2" s="5" t="s">
        <v>1</v>
      </c>
      <c r="BR2" s="5" t="s">
        <v>0</v>
      </c>
      <c r="BS2" s="5" t="s">
        <v>1</v>
      </c>
      <c r="BT2" s="5" t="s">
        <v>0</v>
      </c>
      <c r="BU2" s="5" t="s">
        <v>1</v>
      </c>
      <c r="BV2" s="20" t="s">
        <v>0</v>
      </c>
      <c r="BW2" s="5" t="s">
        <v>1</v>
      </c>
      <c r="BX2" s="57" t="s">
        <v>0</v>
      </c>
      <c r="BY2" s="57" t="s">
        <v>1</v>
      </c>
      <c r="BZ2" s="57" t="s">
        <v>0</v>
      </c>
      <c r="CA2" s="57" t="s">
        <v>1</v>
      </c>
      <c r="CB2" s="57" t="s">
        <v>0</v>
      </c>
      <c r="CC2" s="57" t="s">
        <v>1</v>
      </c>
      <c r="CE2" s="51" t="s">
        <v>0</v>
      </c>
      <c r="CF2" s="51" t="s">
        <v>1</v>
      </c>
    </row>
    <row r="3" spans="1:84" x14ac:dyDescent="0.25">
      <c r="A3" s="1" t="s">
        <v>13</v>
      </c>
      <c r="F3" s="2">
        <v>3</v>
      </c>
      <c r="G3" s="3">
        <f>F3/231%</f>
        <v>1.2987012987012987</v>
      </c>
      <c r="J3" s="2">
        <v>1</v>
      </c>
      <c r="K3" s="3">
        <f>J3/291%</f>
        <v>0.3436426116838488</v>
      </c>
      <c r="L3" s="8">
        <v>2</v>
      </c>
      <c r="M3" s="3">
        <f>L3/135%</f>
        <v>1.4814814814814814</v>
      </c>
      <c r="N3" s="2">
        <v>1</v>
      </c>
      <c r="O3" s="3">
        <f>N3/114%</f>
        <v>0.87719298245614041</v>
      </c>
      <c r="P3" s="8">
        <v>6</v>
      </c>
      <c r="Q3" s="3">
        <f>P3/32%</f>
        <v>18.75</v>
      </c>
      <c r="R3" s="8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8">
        <v>1</v>
      </c>
      <c r="AG3" s="3">
        <f>AF3/44%</f>
        <v>2.2727272727272729</v>
      </c>
      <c r="AH3" s="3"/>
      <c r="AI3" s="3"/>
      <c r="AJ3" s="3"/>
      <c r="AK3" s="3"/>
      <c r="AL3" s="3"/>
      <c r="AM3" s="3"/>
      <c r="AN3" s="8">
        <v>3</v>
      </c>
      <c r="AO3" s="3">
        <f>AN3/51%</f>
        <v>5.8823529411764701</v>
      </c>
      <c r="AP3" s="3"/>
      <c r="AQ3" s="3"/>
      <c r="AR3" s="3"/>
      <c r="AS3" s="3"/>
      <c r="AT3" s="3"/>
      <c r="AU3" s="3"/>
      <c r="AV3" s="8">
        <v>1</v>
      </c>
      <c r="AW3" s="3">
        <f>AV3/18%</f>
        <v>5.5555555555555554</v>
      </c>
      <c r="AX3" s="3"/>
      <c r="AY3" s="3"/>
      <c r="AZ3" s="8">
        <v>2</v>
      </c>
      <c r="BA3" s="3">
        <f>AZ3/172%</f>
        <v>1.1627906976744187</v>
      </c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W3" s="3"/>
      <c r="CE3" s="59">
        <f t="shared" ref="CE3:CE28" si="0">SUM(B3,D3,F3,H3,J3,L3,N3,P3,R3,T3,V3,X3,Z3,AB3,AD3,AF3,AH3,AJ3,AL3,AN3,AP3,AR3,AT3,AV3,AX3,AZ3,BB3,BD3,BF3,BH3,BJ3,BL3,BN3,BP3,BR3,BT3,BV3)</f>
        <v>20</v>
      </c>
      <c r="CF3" s="60">
        <f>CE3/2225%</f>
        <v>0.898876404494382</v>
      </c>
    </row>
    <row r="4" spans="1:84" x14ac:dyDescent="0.25">
      <c r="A4" s="1" t="s">
        <v>14</v>
      </c>
      <c r="G4" s="3"/>
      <c r="J4" s="2">
        <v>2</v>
      </c>
      <c r="K4" s="3">
        <f t="shared" ref="K4:K28" si="1">J4/291%</f>
        <v>0.6872852233676976</v>
      </c>
      <c r="L4" s="8"/>
      <c r="M4" s="3"/>
      <c r="O4" s="3"/>
      <c r="P4" s="8"/>
      <c r="Q4" s="3"/>
      <c r="R4" s="8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8"/>
      <c r="AG4" s="3"/>
      <c r="AH4" s="8"/>
      <c r="AI4" s="3"/>
      <c r="AJ4" s="8">
        <v>1</v>
      </c>
      <c r="AK4" s="3">
        <f>AJ4/57%</f>
        <v>1.7543859649122808</v>
      </c>
      <c r="AL4" s="8"/>
      <c r="AM4" s="3"/>
      <c r="AN4" s="8"/>
      <c r="AO4" s="3"/>
      <c r="AP4" s="3"/>
      <c r="AQ4" s="3"/>
      <c r="AR4" s="3"/>
      <c r="AS4" s="3"/>
      <c r="AT4" s="3"/>
      <c r="AU4" s="3"/>
      <c r="AV4" s="8"/>
      <c r="AW4" s="3"/>
      <c r="AX4" s="3"/>
      <c r="AY4" s="3"/>
      <c r="AZ4" s="8"/>
      <c r="BA4" s="3"/>
      <c r="BB4" s="3"/>
      <c r="BC4" s="3"/>
      <c r="BD4" s="3"/>
      <c r="BE4" s="3"/>
      <c r="BF4" s="8"/>
      <c r="BG4" s="3"/>
      <c r="BH4" s="3"/>
      <c r="BI4" s="3"/>
      <c r="BJ4" s="8">
        <v>1</v>
      </c>
      <c r="BK4" s="3">
        <f>BJ4/17%</f>
        <v>5.8823529411764701</v>
      </c>
      <c r="BL4" s="3"/>
      <c r="BM4" s="3"/>
      <c r="BN4" s="3"/>
      <c r="BO4" s="3"/>
      <c r="BP4" s="3"/>
      <c r="BQ4" s="3"/>
      <c r="BR4" s="3"/>
      <c r="BS4" s="3"/>
      <c r="BT4" s="3"/>
      <c r="BU4" s="3"/>
      <c r="BW4" s="3"/>
      <c r="CE4" s="59">
        <f t="shared" si="0"/>
        <v>4</v>
      </c>
      <c r="CF4" s="60">
        <f t="shared" ref="CF4:CF28" si="2">CE4/2225%</f>
        <v>0.1797752808988764</v>
      </c>
    </row>
    <row r="5" spans="1:84" x14ac:dyDescent="0.25">
      <c r="A5" s="1" t="s">
        <v>16</v>
      </c>
      <c r="F5" s="2">
        <v>2</v>
      </c>
      <c r="G5" s="3">
        <f t="shared" ref="G5:G28" si="3">F5/231%</f>
        <v>0.86580086580086579</v>
      </c>
      <c r="J5" s="2">
        <v>1</v>
      </c>
      <c r="K5" s="3">
        <f t="shared" si="1"/>
        <v>0.3436426116838488</v>
      </c>
      <c r="L5" s="8"/>
      <c r="M5" s="3"/>
      <c r="O5" s="3"/>
      <c r="P5" s="8"/>
      <c r="Q5" s="3"/>
      <c r="R5" s="8">
        <v>1</v>
      </c>
      <c r="S5" s="3">
        <f>R5/109%</f>
        <v>0.9174311926605504</v>
      </c>
      <c r="T5" s="3"/>
      <c r="U5" s="3"/>
      <c r="V5" s="3"/>
      <c r="W5" s="3"/>
      <c r="X5" s="3"/>
      <c r="Y5" s="3"/>
      <c r="Z5" s="3"/>
      <c r="AA5" s="3"/>
      <c r="AB5" s="3"/>
      <c r="AC5" s="3"/>
      <c r="AD5" s="8"/>
      <c r="AE5" s="3"/>
      <c r="AF5" s="8"/>
      <c r="AG5" s="3"/>
      <c r="AH5" s="8"/>
      <c r="AI5" s="3"/>
      <c r="AJ5" s="8"/>
      <c r="AK5" s="3"/>
      <c r="AL5" s="8"/>
      <c r="AM5" s="3"/>
      <c r="AN5" s="8"/>
      <c r="AO5" s="3"/>
      <c r="AP5" s="3"/>
      <c r="AQ5" s="3"/>
      <c r="AR5" s="3"/>
      <c r="AS5" s="3"/>
      <c r="AT5" s="3"/>
      <c r="AU5" s="3"/>
      <c r="AV5" s="8"/>
      <c r="AW5" s="3"/>
      <c r="AX5" s="3"/>
      <c r="AY5" s="3"/>
      <c r="AZ5" s="8"/>
      <c r="BA5" s="3"/>
      <c r="BB5" s="8">
        <v>3</v>
      </c>
      <c r="BC5" s="3">
        <f>BB5/400%</f>
        <v>0.75</v>
      </c>
      <c r="BD5" s="3"/>
      <c r="BE5" s="3"/>
      <c r="BF5" s="8">
        <v>2</v>
      </c>
      <c r="BG5" s="3">
        <f>BF5/128%</f>
        <v>1.5625</v>
      </c>
      <c r="BH5" s="3"/>
      <c r="BI5" s="3"/>
      <c r="BJ5" s="8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W5" s="3"/>
      <c r="CE5" s="59">
        <f t="shared" si="0"/>
        <v>9</v>
      </c>
      <c r="CF5" s="60">
        <f t="shared" si="2"/>
        <v>0.4044943820224719</v>
      </c>
    </row>
    <row r="6" spans="1:84" x14ac:dyDescent="0.25">
      <c r="A6" s="1" t="s">
        <v>15</v>
      </c>
      <c r="F6" s="2">
        <v>1</v>
      </c>
      <c r="G6" s="3">
        <f t="shared" si="3"/>
        <v>0.4329004329004329</v>
      </c>
      <c r="K6" s="3"/>
      <c r="L6" s="8"/>
      <c r="M6" s="3"/>
      <c r="O6" s="3"/>
      <c r="P6" s="8"/>
      <c r="Q6" s="3"/>
      <c r="R6" s="8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8"/>
      <c r="AE6" s="3"/>
      <c r="AF6" s="8"/>
      <c r="AG6" s="3"/>
      <c r="AH6" s="8"/>
      <c r="AI6" s="3"/>
      <c r="AJ6" s="8"/>
      <c r="AK6" s="3"/>
      <c r="AL6" s="8"/>
      <c r="AM6" s="3"/>
      <c r="AN6" s="8"/>
      <c r="AO6" s="3"/>
      <c r="AP6" s="3"/>
      <c r="AQ6" s="3"/>
      <c r="AR6" s="3"/>
      <c r="AS6" s="3"/>
      <c r="AT6" s="3"/>
      <c r="AU6" s="3"/>
      <c r="AV6" s="8"/>
      <c r="AW6" s="3"/>
      <c r="AX6" s="3"/>
      <c r="AY6" s="3"/>
      <c r="AZ6" s="8"/>
      <c r="BA6" s="3"/>
      <c r="BB6" s="8"/>
      <c r="BC6" s="3"/>
      <c r="BD6" s="3"/>
      <c r="BE6" s="3"/>
      <c r="BF6" s="8"/>
      <c r="BG6" s="3"/>
      <c r="BH6" s="3"/>
      <c r="BI6" s="3"/>
      <c r="BJ6" s="8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W6" s="3"/>
      <c r="CE6" s="59">
        <f t="shared" si="0"/>
        <v>1</v>
      </c>
      <c r="CF6" s="60">
        <f t="shared" si="2"/>
        <v>4.49438202247191E-2</v>
      </c>
    </row>
    <row r="7" spans="1:84" x14ac:dyDescent="0.25">
      <c r="A7" s="1" t="s">
        <v>86</v>
      </c>
      <c r="G7" s="3"/>
      <c r="H7" s="3"/>
      <c r="I7" s="3"/>
      <c r="J7" s="2">
        <v>2</v>
      </c>
      <c r="K7" s="3">
        <f t="shared" si="1"/>
        <v>0.6872852233676976</v>
      </c>
      <c r="L7" s="8"/>
      <c r="M7" s="3"/>
      <c r="O7" s="3"/>
      <c r="P7" s="8"/>
      <c r="Q7" s="3"/>
      <c r="R7" s="8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8"/>
      <c r="AE7" s="3"/>
      <c r="AF7" s="8"/>
      <c r="AG7" s="3"/>
      <c r="AH7" s="8"/>
      <c r="AI7" s="3"/>
      <c r="AJ7" s="8">
        <v>1</v>
      </c>
      <c r="AK7" s="3">
        <f t="shared" ref="AK7:AK28" si="4">AJ7/57%</f>
        <v>1.7543859649122808</v>
      </c>
      <c r="AL7" s="8">
        <v>1</v>
      </c>
      <c r="AM7" s="3">
        <f>AL7/19%</f>
        <v>5.2631578947368425</v>
      </c>
      <c r="AN7" s="8"/>
      <c r="AO7" s="3"/>
      <c r="AP7" s="3"/>
      <c r="AQ7" s="3"/>
      <c r="AR7" s="3"/>
      <c r="AS7" s="3"/>
      <c r="AT7" s="3"/>
      <c r="AU7" s="3"/>
      <c r="AV7" s="8"/>
      <c r="AW7" s="3"/>
      <c r="AX7" s="3"/>
      <c r="AY7" s="3"/>
      <c r="AZ7" s="8"/>
      <c r="BA7" s="3"/>
      <c r="BB7" s="8"/>
      <c r="BC7" s="3"/>
      <c r="BD7" s="3"/>
      <c r="BE7" s="3"/>
      <c r="BF7" s="8"/>
      <c r="BG7" s="3"/>
      <c r="BH7" s="3"/>
      <c r="BI7" s="3"/>
      <c r="BJ7" s="8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W7" s="3"/>
      <c r="CE7" s="59">
        <f t="shared" si="0"/>
        <v>4</v>
      </c>
      <c r="CF7" s="60">
        <f t="shared" si="2"/>
        <v>0.1797752808988764</v>
      </c>
    </row>
    <row r="8" spans="1:84" s="23" customFormat="1" x14ac:dyDescent="0.25">
      <c r="A8" s="23" t="s">
        <v>18</v>
      </c>
      <c r="B8" s="21"/>
      <c r="C8" s="21"/>
      <c r="D8" s="39">
        <v>1</v>
      </c>
      <c r="E8" s="38">
        <f>D8/58%</f>
        <v>1.7241379310344829</v>
      </c>
      <c r="F8" s="21">
        <v>1</v>
      </c>
      <c r="G8" s="38">
        <f t="shared" si="3"/>
        <v>0.4329004329004329</v>
      </c>
      <c r="H8" s="38"/>
      <c r="I8" s="38"/>
      <c r="J8" s="21">
        <v>3</v>
      </c>
      <c r="K8" s="38">
        <f t="shared" si="1"/>
        <v>1.0309278350515463</v>
      </c>
      <c r="L8" s="39"/>
      <c r="M8" s="38"/>
      <c r="N8" s="21">
        <v>1</v>
      </c>
      <c r="O8" s="38">
        <f t="shared" ref="O8:O28" si="5">N8/114%</f>
        <v>0.87719298245614041</v>
      </c>
      <c r="P8" s="39"/>
      <c r="Q8" s="38"/>
      <c r="R8" s="39">
        <v>2</v>
      </c>
      <c r="S8" s="38">
        <f t="shared" ref="S8:S28" si="6">R8/109%</f>
        <v>1.8348623853211008</v>
      </c>
      <c r="T8" s="38"/>
      <c r="U8" s="38"/>
      <c r="V8" s="21">
        <v>1</v>
      </c>
      <c r="W8" s="38">
        <f>V8/88%</f>
        <v>1.1363636363636365</v>
      </c>
      <c r="X8" s="38"/>
      <c r="Y8" s="38"/>
      <c r="Z8" s="38"/>
      <c r="AA8" s="38"/>
      <c r="AB8" s="38"/>
      <c r="AC8" s="38"/>
      <c r="AD8" s="39">
        <v>7</v>
      </c>
      <c r="AE8" s="38">
        <f>AD8/67%</f>
        <v>10.44776119402985</v>
      </c>
      <c r="AF8" s="39"/>
      <c r="AG8" s="38"/>
      <c r="AH8" s="39">
        <v>2</v>
      </c>
      <c r="AI8" s="38">
        <f>AH8/20%</f>
        <v>10</v>
      </c>
      <c r="AJ8" s="39">
        <v>2</v>
      </c>
      <c r="AK8" s="38">
        <f t="shared" si="4"/>
        <v>3.5087719298245617</v>
      </c>
      <c r="AL8" s="39">
        <v>1</v>
      </c>
      <c r="AM8" s="38">
        <f>AL8/19%</f>
        <v>5.2631578947368425</v>
      </c>
      <c r="AN8" s="39"/>
      <c r="AO8" s="38"/>
      <c r="AP8" s="38"/>
      <c r="AQ8" s="38"/>
      <c r="AR8" s="38"/>
      <c r="AS8" s="38"/>
      <c r="AT8" s="38"/>
      <c r="AU8" s="38"/>
      <c r="AV8" s="39">
        <v>1</v>
      </c>
      <c r="AW8" s="38">
        <f t="shared" ref="AW8:AW28" si="7">AV8/18%</f>
        <v>5.5555555555555554</v>
      </c>
      <c r="AX8" s="38"/>
      <c r="AY8" s="38"/>
      <c r="AZ8" s="39">
        <v>3</v>
      </c>
      <c r="BA8" s="38">
        <f t="shared" ref="BA8:BA28" si="8">AZ8/172%</f>
        <v>1.7441860465116279</v>
      </c>
      <c r="BB8" s="39">
        <v>4</v>
      </c>
      <c r="BC8" s="38">
        <f t="shared" ref="BC8:BC28" si="9">BB8/400%</f>
        <v>1</v>
      </c>
      <c r="BD8" s="38"/>
      <c r="BE8" s="38"/>
      <c r="BF8" s="39">
        <v>4</v>
      </c>
      <c r="BG8" s="38">
        <f t="shared" ref="BG8:BG28" si="10">BF8/128%</f>
        <v>3.125</v>
      </c>
      <c r="BH8" s="38"/>
      <c r="BI8" s="38"/>
      <c r="BJ8" s="39"/>
      <c r="BK8" s="38"/>
      <c r="BL8" s="38"/>
      <c r="BM8" s="38"/>
      <c r="BN8" s="38"/>
      <c r="BO8" s="38"/>
      <c r="BP8" s="39">
        <v>1</v>
      </c>
      <c r="BQ8" s="38">
        <f>BP8/16%</f>
        <v>6.25</v>
      </c>
      <c r="BR8" s="39">
        <v>2</v>
      </c>
      <c r="BS8" s="38">
        <f>BR8/33%</f>
        <v>6.0606060606060606</v>
      </c>
      <c r="BT8" s="38"/>
      <c r="BU8" s="38"/>
      <c r="BV8" s="21"/>
      <c r="BW8" s="38"/>
      <c r="BX8" s="23">
        <v>1</v>
      </c>
      <c r="BY8" s="23">
        <f>(ROUND((BX8/BX29)*100,1))</f>
        <v>5.9</v>
      </c>
      <c r="CE8" s="61">
        <f t="shared" si="0"/>
        <v>36</v>
      </c>
      <c r="CF8" s="62">
        <f t="shared" si="2"/>
        <v>1.6179775280898876</v>
      </c>
    </row>
    <row r="9" spans="1:84" s="23" customFormat="1" x14ac:dyDescent="0.25">
      <c r="A9" s="37" t="s">
        <v>131</v>
      </c>
      <c r="B9" s="21"/>
      <c r="C9" s="21"/>
      <c r="D9" s="39"/>
      <c r="E9" s="38"/>
      <c r="F9" s="21"/>
      <c r="G9" s="38"/>
      <c r="H9" s="21"/>
      <c r="I9" s="21"/>
      <c r="J9" s="21"/>
      <c r="K9" s="38"/>
      <c r="L9" s="39"/>
      <c r="M9" s="38"/>
      <c r="N9" s="21">
        <v>1</v>
      </c>
      <c r="O9" s="38">
        <f t="shared" si="5"/>
        <v>0.87719298245614041</v>
      </c>
      <c r="P9" s="39"/>
      <c r="Q9" s="38"/>
      <c r="R9" s="39"/>
      <c r="S9" s="38"/>
      <c r="T9" s="38"/>
      <c r="U9" s="38"/>
      <c r="V9" s="21"/>
      <c r="W9" s="38"/>
      <c r="X9" s="38"/>
      <c r="Y9" s="38"/>
      <c r="Z9" s="38"/>
      <c r="AA9" s="38"/>
      <c r="AB9" s="38"/>
      <c r="AC9" s="38"/>
      <c r="AD9" s="39"/>
      <c r="AE9" s="38"/>
      <c r="AF9" s="39"/>
      <c r="AG9" s="38"/>
      <c r="AH9" s="39"/>
      <c r="AI9" s="38"/>
      <c r="AJ9" s="39"/>
      <c r="AK9" s="38"/>
      <c r="AL9" s="39"/>
      <c r="AM9" s="38"/>
      <c r="AN9" s="39"/>
      <c r="AO9" s="38"/>
      <c r="AP9" s="38"/>
      <c r="AQ9" s="38"/>
      <c r="AR9" s="38"/>
      <c r="AS9" s="38"/>
      <c r="AT9" s="38"/>
      <c r="AU9" s="38"/>
      <c r="AV9" s="39"/>
      <c r="AW9" s="38"/>
      <c r="AX9" s="38"/>
      <c r="AY9" s="38"/>
      <c r="AZ9" s="39"/>
      <c r="BA9" s="21"/>
      <c r="BB9" s="39"/>
      <c r="BC9" s="38"/>
      <c r="BD9" s="38"/>
      <c r="BE9" s="38"/>
      <c r="BF9" s="39"/>
      <c r="BG9" s="38"/>
      <c r="BH9" s="38"/>
      <c r="BI9" s="38"/>
      <c r="BJ9" s="39"/>
      <c r="BK9" s="38"/>
      <c r="BL9" s="38"/>
      <c r="BM9" s="38"/>
      <c r="BN9" s="39">
        <v>1</v>
      </c>
      <c r="BO9" s="38">
        <f>BN9/9%</f>
        <v>11.111111111111111</v>
      </c>
      <c r="BP9" s="39"/>
      <c r="BQ9" s="38"/>
      <c r="BR9" s="39"/>
      <c r="BS9" s="38"/>
      <c r="BT9" s="38"/>
      <c r="BU9" s="38"/>
      <c r="BV9" s="21"/>
      <c r="BW9" s="38"/>
      <c r="CE9" s="61">
        <f t="shared" si="0"/>
        <v>2</v>
      </c>
      <c r="CF9" s="62">
        <f t="shared" si="2"/>
        <v>8.98876404494382E-2</v>
      </c>
    </row>
    <row r="10" spans="1:84" s="23" customFormat="1" x14ac:dyDescent="0.25">
      <c r="A10" s="37" t="s">
        <v>160</v>
      </c>
      <c r="B10" s="21"/>
      <c r="C10" s="21"/>
      <c r="D10" s="39"/>
      <c r="E10" s="38"/>
      <c r="F10" s="21"/>
      <c r="G10" s="38"/>
      <c r="H10" s="21"/>
      <c r="I10" s="21"/>
      <c r="J10" s="21"/>
      <c r="K10" s="38"/>
      <c r="L10" s="39"/>
      <c r="M10" s="38"/>
      <c r="N10" s="21"/>
      <c r="O10" s="38"/>
      <c r="P10" s="39"/>
      <c r="Q10" s="38"/>
      <c r="R10" s="39"/>
      <c r="S10" s="38"/>
      <c r="T10" s="38"/>
      <c r="U10" s="38"/>
      <c r="V10" s="21"/>
      <c r="W10" s="38"/>
      <c r="X10" s="38"/>
      <c r="Y10" s="38"/>
      <c r="Z10" s="38"/>
      <c r="AA10" s="38"/>
      <c r="AB10" s="38"/>
      <c r="AC10" s="38"/>
      <c r="AD10" s="39"/>
      <c r="AE10" s="38"/>
      <c r="AF10" s="39"/>
      <c r="AG10" s="38"/>
      <c r="AH10" s="39"/>
      <c r="AI10" s="38"/>
      <c r="AJ10" s="39"/>
      <c r="AK10" s="38"/>
      <c r="AL10" s="39"/>
      <c r="AM10" s="38"/>
      <c r="AN10" s="39">
        <v>1</v>
      </c>
      <c r="AO10" s="38">
        <f>AN10/51%</f>
        <v>1.9607843137254901</v>
      </c>
      <c r="AP10" s="38"/>
      <c r="AQ10" s="38"/>
      <c r="AR10" s="38"/>
      <c r="AS10" s="38"/>
      <c r="AT10" s="38"/>
      <c r="AU10" s="38"/>
      <c r="AV10" s="39"/>
      <c r="AW10" s="38"/>
      <c r="AX10" s="38"/>
      <c r="AY10" s="38"/>
      <c r="AZ10" s="39"/>
      <c r="BA10" s="21"/>
      <c r="BB10" s="39"/>
      <c r="BC10" s="38"/>
      <c r="BD10" s="38"/>
      <c r="BE10" s="38"/>
      <c r="BF10" s="39"/>
      <c r="BG10" s="38"/>
      <c r="BH10" s="38"/>
      <c r="BI10" s="38"/>
      <c r="BJ10" s="39"/>
      <c r="BK10" s="38"/>
      <c r="BL10" s="38"/>
      <c r="BM10" s="38"/>
      <c r="BN10" s="39"/>
      <c r="BO10" s="38"/>
      <c r="BP10" s="39"/>
      <c r="BQ10" s="38"/>
      <c r="BR10" s="39"/>
      <c r="BS10" s="38"/>
      <c r="BT10" s="38"/>
      <c r="BU10" s="38"/>
      <c r="BV10" s="21"/>
      <c r="BW10" s="38"/>
      <c r="CE10" s="61">
        <f t="shared" si="0"/>
        <v>1</v>
      </c>
      <c r="CF10" s="62">
        <f t="shared" si="2"/>
        <v>4.49438202247191E-2</v>
      </c>
    </row>
    <row r="11" spans="1:84" s="23" customFormat="1" x14ac:dyDescent="0.25">
      <c r="A11" s="37" t="s">
        <v>19</v>
      </c>
      <c r="B11" s="21"/>
      <c r="C11" s="21"/>
      <c r="D11" s="39"/>
      <c r="E11" s="38"/>
      <c r="F11" s="21"/>
      <c r="G11" s="38"/>
      <c r="H11" s="21"/>
      <c r="I11" s="21"/>
      <c r="J11" s="21"/>
      <c r="K11" s="38"/>
      <c r="L11" s="39"/>
      <c r="M11" s="38"/>
      <c r="N11" s="21"/>
      <c r="O11" s="38"/>
      <c r="P11" s="39"/>
      <c r="Q11" s="38"/>
      <c r="R11" s="39"/>
      <c r="S11" s="38"/>
      <c r="T11" s="38"/>
      <c r="U11" s="38"/>
      <c r="V11" s="21"/>
      <c r="W11" s="38"/>
      <c r="X11" s="38"/>
      <c r="Y11" s="38"/>
      <c r="Z11" s="38"/>
      <c r="AA11" s="38"/>
      <c r="AB11" s="39"/>
      <c r="AC11" s="38"/>
      <c r="AD11" s="39">
        <v>1</v>
      </c>
      <c r="AE11" s="38">
        <f t="shared" ref="AE11:AE28" si="11">AD11/67%</f>
        <v>1.4925373134328357</v>
      </c>
      <c r="AF11" s="39"/>
      <c r="AG11" s="38"/>
      <c r="AH11" s="39"/>
      <c r="AI11" s="38"/>
      <c r="AJ11" s="39"/>
      <c r="AK11" s="38"/>
      <c r="AL11" s="39"/>
      <c r="AM11" s="38"/>
      <c r="AN11" s="39"/>
      <c r="AO11" s="38"/>
      <c r="AP11" s="38"/>
      <c r="AQ11" s="38"/>
      <c r="AR11" s="38"/>
      <c r="AS11" s="38"/>
      <c r="AT11" s="38"/>
      <c r="AU11" s="38"/>
      <c r="AV11" s="39"/>
      <c r="AW11" s="38"/>
      <c r="AX11" s="38"/>
      <c r="AY11" s="38"/>
      <c r="AZ11" s="39"/>
      <c r="BA11" s="38"/>
      <c r="BB11" s="39"/>
      <c r="BC11" s="38"/>
      <c r="BD11" s="38"/>
      <c r="BE11" s="38"/>
      <c r="BF11" s="39"/>
      <c r="BG11" s="38"/>
      <c r="BH11" s="38"/>
      <c r="BI11" s="38"/>
      <c r="BJ11" s="39"/>
      <c r="BK11" s="38"/>
      <c r="BL11" s="38"/>
      <c r="BM11" s="38"/>
      <c r="BN11" s="39"/>
      <c r="BO11" s="38"/>
      <c r="BP11" s="39"/>
      <c r="BQ11" s="38"/>
      <c r="BR11" s="39"/>
      <c r="BS11" s="38"/>
      <c r="BT11" s="38"/>
      <c r="BU11" s="38"/>
      <c r="BV11" s="21"/>
      <c r="BW11" s="38"/>
      <c r="CE11" s="61">
        <f t="shared" si="0"/>
        <v>1</v>
      </c>
      <c r="CF11" s="62">
        <f t="shared" si="2"/>
        <v>4.49438202247191E-2</v>
      </c>
    </row>
    <row r="12" spans="1:84" s="23" customFormat="1" x14ac:dyDescent="0.25">
      <c r="A12" s="37" t="s">
        <v>132</v>
      </c>
      <c r="B12" s="21"/>
      <c r="C12" s="21"/>
      <c r="D12" s="39"/>
      <c r="E12" s="38"/>
      <c r="F12" s="21"/>
      <c r="G12" s="38"/>
      <c r="H12" s="21"/>
      <c r="I12" s="21"/>
      <c r="J12" s="21"/>
      <c r="K12" s="38"/>
      <c r="L12" s="39"/>
      <c r="M12" s="38"/>
      <c r="N12" s="21"/>
      <c r="O12" s="38"/>
      <c r="P12" s="39"/>
      <c r="Q12" s="38"/>
      <c r="R12" s="39"/>
      <c r="S12" s="38"/>
      <c r="T12" s="38"/>
      <c r="U12" s="38"/>
      <c r="V12" s="21"/>
      <c r="W12" s="38"/>
      <c r="X12" s="38"/>
      <c r="Y12" s="38"/>
      <c r="Z12" s="38"/>
      <c r="AA12" s="38"/>
      <c r="AB12" s="39"/>
      <c r="AC12" s="38"/>
      <c r="AD12" s="39">
        <v>1</v>
      </c>
      <c r="AE12" s="38">
        <f t="shared" si="11"/>
        <v>1.4925373134328357</v>
      </c>
      <c r="AF12" s="39"/>
      <c r="AG12" s="38"/>
      <c r="AH12" s="39"/>
      <c r="AI12" s="38"/>
      <c r="AJ12" s="39"/>
      <c r="AK12" s="38"/>
      <c r="AL12" s="39"/>
      <c r="AM12" s="38"/>
      <c r="AN12" s="39"/>
      <c r="AO12" s="38"/>
      <c r="AP12" s="38"/>
      <c r="AQ12" s="38"/>
      <c r="AR12" s="38"/>
      <c r="AS12" s="38"/>
      <c r="AT12" s="38"/>
      <c r="AU12" s="38"/>
      <c r="AV12" s="39"/>
      <c r="AW12" s="38"/>
      <c r="AX12" s="38"/>
      <c r="AY12" s="38"/>
      <c r="AZ12" s="39"/>
      <c r="BA12" s="38"/>
      <c r="BB12" s="39"/>
      <c r="BC12" s="38"/>
      <c r="BD12" s="38"/>
      <c r="BE12" s="38"/>
      <c r="BF12" s="39"/>
      <c r="BG12" s="38"/>
      <c r="BH12" s="38"/>
      <c r="BI12" s="38"/>
      <c r="BJ12" s="39"/>
      <c r="BK12" s="38"/>
      <c r="BL12" s="38"/>
      <c r="BM12" s="38"/>
      <c r="BN12" s="39"/>
      <c r="BO12" s="38"/>
      <c r="BP12" s="39"/>
      <c r="BQ12" s="38"/>
      <c r="BR12" s="39"/>
      <c r="BS12" s="38"/>
      <c r="BT12" s="38"/>
      <c r="BU12" s="38"/>
      <c r="BV12" s="21"/>
      <c r="BW12" s="38"/>
      <c r="CE12" s="61">
        <f t="shared" si="0"/>
        <v>1</v>
      </c>
      <c r="CF12" s="62">
        <f t="shared" si="2"/>
        <v>4.49438202247191E-2</v>
      </c>
    </row>
    <row r="13" spans="1:84" s="23" customFormat="1" x14ac:dyDescent="0.25">
      <c r="A13" s="37" t="s">
        <v>21</v>
      </c>
      <c r="B13" s="21"/>
      <c r="C13" s="21"/>
      <c r="D13" s="39"/>
      <c r="E13" s="38"/>
      <c r="F13" s="21">
        <v>3</v>
      </c>
      <c r="G13" s="38">
        <f t="shared" si="3"/>
        <v>1.2987012987012987</v>
      </c>
      <c r="H13" s="21"/>
      <c r="I13" s="21"/>
      <c r="J13" s="21"/>
      <c r="K13" s="38"/>
      <c r="L13" s="39"/>
      <c r="M13" s="38"/>
      <c r="N13" s="21"/>
      <c r="O13" s="38"/>
      <c r="P13" s="39">
        <v>1</v>
      </c>
      <c r="Q13" s="38">
        <f t="shared" ref="Q13:Q28" si="12">P13/32%</f>
        <v>3.125</v>
      </c>
      <c r="R13" s="39"/>
      <c r="S13" s="38"/>
      <c r="T13" s="38"/>
      <c r="U13" s="38"/>
      <c r="V13" s="21">
        <v>2</v>
      </c>
      <c r="W13" s="38">
        <f t="shared" ref="W13:W28" si="13">V13/88%</f>
        <v>2.2727272727272729</v>
      </c>
      <c r="X13" s="38"/>
      <c r="Y13" s="38"/>
      <c r="Z13" s="38"/>
      <c r="AA13" s="38"/>
      <c r="AB13" s="39">
        <v>3</v>
      </c>
      <c r="AC13" s="38">
        <f>AB13/13%</f>
        <v>23.076923076923077</v>
      </c>
      <c r="AD13" s="39">
        <v>6</v>
      </c>
      <c r="AE13" s="38">
        <f t="shared" si="11"/>
        <v>8.9552238805970141</v>
      </c>
      <c r="AF13" s="39"/>
      <c r="AG13" s="38"/>
      <c r="AH13" s="39"/>
      <c r="AI13" s="38"/>
      <c r="AJ13" s="39"/>
      <c r="AK13" s="38"/>
      <c r="AL13" s="39"/>
      <c r="AM13" s="38"/>
      <c r="AN13" s="39"/>
      <c r="AO13" s="38"/>
      <c r="AP13" s="38"/>
      <c r="AQ13" s="38"/>
      <c r="AR13" s="38"/>
      <c r="AS13" s="38"/>
      <c r="AT13" s="38"/>
      <c r="AU13" s="38"/>
      <c r="AV13" s="39"/>
      <c r="AW13" s="38"/>
      <c r="AX13" s="38"/>
      <c r="AY13" s="38"/>
      <c r="AZ13" s="39">
        <v>1</v>
      </c>
      <c r="BA13" s="38">
        <f t="shared" si="8"/>
        <v>0.58139534883720934</v>
      </c>
      <c r="BB13" s="39">
        <v>5</v>
      </c>
      <c r="BC13" s="38">
        <f t="shared" si="9"/>
        <v>1.25</v>
      </c>
      <c r="BD13" s="38"/>
      <c r="BE13" s="38"/>
      <c r="BF13" s="39">
        <v>3</v>
      </c>
      <c r="BG13" s="38">
        <f t="shared" si="10"/>
        <v>2.34375</v>
      </c>
      <c r="BH13" s="38"/>
      <c r="BI13" s="38"/>
      <c r="BJ13" s="39"/>
      <c r="BK13" s="38"/>
      <c r="BL13" s="38"/>
      <c r="BM13" s="38"/>
      <c r="BN13" s="39"/>
      <c r="BO13" s="38"/>
      <c r="BP13" s="39">
        <v>1</v>
      </c>
      <c r="BQ13" s="38">
        <f t="shared" ref="BQ13:BQ28" si="14">BP13/16%</f>
        <v>6.25</v>
      </c>
      <c r="BR13" s="39"/>
      <c r="BS13" s="38"/>
      <c r="BT13" s="38"/>
      <c r="BU13" s="38"/>
      <c r="BV13" s="21"/>
      <c r="BW13" s="38"/>
      <c r="BX13" s="23">
        <v>1</v>
      </c>
      <c r="BY13" s="23">
        <f>(ROUND((BX13/BX29)*100,1))</f>
        <v>5.9</v>
      </c>
      <c r="CE13" s="61">
        <f t="shared" si="0"/>
        <v>25</v>
      </c>
      <c r="CF13" s="62">
        <f t="shared" si="2"/>
        <v>1.1235955056179776</v>
      </c>
    </row>
    <row r="14" spans="1:84" x14ac:dyDescent="0.25">
      <c r="A14" s="1" t="s">
        <v>22</v>
      </c>
      <c r="D14" s="8"/>
      <c r="E14" s="3"/>
      <c r="F14" s="2">
        <v>13</v>
      </c>
      <c r="G14" s="3">
        <f t="shared" si="3"/>
        <v>5.6277056277056277</v>
      </c>
      <c r="J14" s="2">
        <v>2</v>
      </c>
      <c r="K14" s="3">
        <f t="shared" si="1"/>
        <v>0.6872852233676976</v>
      </c>
      <c r="L14" s="8">
        <v>6</v>
      </c>
      <c r="M14" s="3">
        <f t="shared" ref="M14:M28" si="15">L14/135%</f>
        <v>4.4444444444444438</v>
      </c>
      <c r="N14" s="2">
        <v>2</v>
      </c>
      <c r="O14" s="3">
        <f t="shared" si="5"/>
        <v>1.7543859649122808</v>
      </c>
      <c r="P14" s="8"/>
      <c r="Q14" s="3"/>
      <c r="R14" s="8">
        <v>2</v>
      </c>
      <c r="S14" s="3">
        <f t="shared" si="6"/>
        <v>1.8348623853211008</v>
      </c>
      <c r="T14" s="3"/>
      <c r="U14" s="3"/>
      <c r="V14" s="2">
        <v>3</v>
      </c>
      <c r="W14" s="3">
        <f t="shared" si="13"/>
        <v>3.4090909090909092</v>
      </c>
      <c r="X14" s="3"/>
      <c r="Y14" s="3"/>
      <c r="Z14" s="3"/>
      <c r="AA14" s="3"/>
      <c r="AB14" s="8"/>
      <c r="AC14" s="3"/>
      <c r="AD14" s="8"/>
      <c r="AE14" s="3"/>
      <c r="AF14" s="8">
        <v>1</v>
      </c>
      <c r="AG14" s="3">
        <f>AF14/44%</f>
        <v>2.2727272727272729</v>
      </c>
      <c r="AH14" s="8">
        <v>2</v>
      </c>
      <c r="AI14" s="3">
        <f>AH14/20%</f>
        <v>10</v>
      </c>
      <c r="AJ14" s="8"/>
      <c r="AK14" s="3"/>
      <c r="AL14" s="8"/>
      <c r="AM14" s="3"/>
      <c r="AN14" s="8">
        <v>5</v>
      </c>
      <c r="AO14" s="3">
        <f>AN14/51%</f>
        <v>9.8039215686274517</v>
      </c>
      <c r="AP14" s="3"/>
      <c r="AQ14" s="3"/>
      <c r="AR14" s="3"/>
      <c r="AS14" s="3"/>
      <c r="AT14" s="3"/>
      <c r="AU14" s="3"/>
      <c r="AV14" s="8"/>
      <c r="AW14" s="3"/>
      <c r="AX14" s="3"/>
      <c r="AY14" s="3"/>
      <c r="AZ14" s="8">
        <v>2</v>
      </c>
      <c r="BA14" s="3">
        <f t="shared" si="8"/>
        <v>1.1627906976744187</v>
      </c>
      <c r="BB14" s="8">
        <v>2</v>
      </c>
      <c r="BC14" s="3">
        <f t="shared" si="9"/>
        <v>0.5</v>
      </c>
      <c r="BD14" s="3"/>
      <c r="BE14" s="3"/>
      <c r="BF14" s="8"/>
      <c r="BG14" s="3"/>
      <c r="BH14" s="3"/>
      <c r="BI14" s="3"/>
      <c r="BJ14" s="8">
        <v>1</v>
      </c>
      <c r="BK14" s="3">
        <f t="shared" ref="BK14:BK28" si="16">BJ14/17%</f>
        <v>5.8823529411764701</v>
      </c>
      <c r="BL14" s="3"/>
      <c r="BM14" s="3"/>
      <c r="BN14" s="8"/>
      <c r="BO14" s="3"/>
      <c r="BP14" s="8"/>
      <c r="BQ14" s="3"/>
      <c r="BR14" s="8"/>
      <c r="BS14" s="3"/>
      <c r="BT14" s="3"/>
      <c r="BU14" s="3"/>
      <c r="BW14" s="3"/>
      <c r="CE14" s="59">
        <f t="shared" si="0"/>
        <v>41</v>
      </c>
      <c r="CF14" s="60">
        <f t="shared" si="2"/>
        <v>1.8426966292134832</v>
      </c>
    </row>
    <row r="15" spans="1:84" x14ac:dyDescent="0.25">
      <c r="A15" s="7" t="s">
        <v>23</v>
      </c>
      <c r="D15" s="8"/>
      <c r="E15" s="3"/>
      <c r="F15" s="2">
        <v>1</v>
      </c>
      <c r="G15" s="3">
        <f t="shared" si="3"/>
        <v>0.4329004329004329</v>
      </c>
      <c r="K15" s="3"/>
      <c r="L15" s="8">
        <v>1</v>
      </c>
      <c r="M15" s="3">
        <f t="shared" si="15"/>
        <v>0.7407407407407407</v>
      </c>
      <c r="O15" s="3"/>
      <c r="P15" s="8"/>
      <c r="Q15" s="3"/>
      <c r="R15" s="8"/>
      <c r="S15" s="3"/>
      <c r="T15" s="3"/>
      <c r="U15" s="3"/>
      <c r="W15" s="3"/>
      <c r="X15" s="3"/>
      <c r="Y15" s="3"/>
      <c r="Z15" s="8"/>
      <c r="AA15" s="3"/>
      <c r="AB15" s="8"/>
      <c r="AC15" s="3"/>
      <c r="AD15" s="8"/>
      <c r="AE15" s="3"/>
      <c r="AF15" s="8"/>
      <c r="AG15" s="3"/>
      <c r="AH15" s="8"/>
      <c r="AI15" s="3"/>
      <c r="AJ15" s="8"/>
      <c r="AK15" s="3"/>
      <c r="AL15" s="8"/>
      <c r="AM15" s="3"/>
      <c r="AN15" s="8"/>
      <c r="AO15" s="3"/>
      <c r="AP15" s="3"/>
      <c r="AQ15" s="3"/>
      <c r="AR15" s="3"/>
      <c r="AS15" s="3"/>
      <c r="AT15" s="3"/>
      <c r="AU15" s="3"/>
      <c r="AV15" s="8"/>
      <c r="AW15" s="3"/>
      <c r="AX15" s="3"/>
      <c r="AY15" s="3"/>
      <c r="AZ15" s="8"/>
      <c r="BA15" s="3"/>
      <c r="BB15" s="8">
        <v>3</v>
      </c>
      <c r="BC15" s="3">
        <f t="shared" si="9"/>
        <v>0.75</v>
      </c>
      <c r="BD15" s="3"/>
      <c r="BE15" s="3"/>
      <c r="BF15" s="8">
        <v>1</v>
      </c>
      <c r="BG15" s="3">
        <f t="shared" si="10"/>
        <v>0.78125</v>
      </c>
      <c r="BH15" s="3"/>
      <c r="BI15" s="3"/>
      <c r="BJ15" s="8"/>
      <c r="BK15" s="3"/>
      <c r="BL15" s="3"/>
      <c r="BM15" s="3"/>
      <c r="BN15" s="8"/>
      <c r="BO15" s="3"/>
      <c r="BP15" s="8"/>
      <c r="BQ15" s="3"/>
      <c r="BR15" s="8"/>
      <c r="BS15" s="3"/>
      <c r="BT15" s="3"/>
      <c r="BU15" s="3"/>
      <c r="BW15" s="3"/>
      <c r="CB15" s="1">
        <v>4</v>
      </c>
      <c r="CC15" s="23">
        <f>(ROUND((CB15/CB29)*100,1))</f>
        <v>8.9</v>
      </c>
      <c r="CE15" s="59">
        <f t="shared" si="0"/>
        <v>6</v>
      </c>
      <c r="CF15" s="60">
        <f t="shared" si="2"/>
        <v>0.2696629213483146</v>
      </c>
    </row>
    <row r="16" spans="1:84" x14ac:dyDescent="0.25">
      <c r="A16" s="7" t="s">
        <v>133</v>
      </c>
      <c r="D16" s="8"/>
      <c r="E16" s="3"/>
      <c r="G16" s="3"/>
      <c r="J16" s="2">
        <v>2</v>
      </c>
      <c r="K16" s="3">
        <f t="shared" si="1"/>
        <v>0.6872852233676976</v>
      </c>
      <c r="L16" s="8"/>
      <c r="M16" s="3"/>
      <c r="O16" s="3"/>
      <c r="P16" s="8"/>
      <c r="Q16" s="3"/>
      <c r="R16" s="8"/>
      <c r="S16" s="3"/>
      <c r="T16" s="3"/>
      <c r="U16" s="3"/>
      <c r="W16" s="3"/>
      <c r="X16" s="3"/>
      <c r="Y16" s="3"/>
      <c r="Z16" s="8"/>
      <c r="AA16" s="3"/>
      <c r="AB16" s="8"/>
      <c r="AC16" s="3"/>
      <c r="AD16" s="8"/>
      <c r="AE16" s="3"/>
      <c r="AF16" s="8"/>
      <c r="AG16" s="3"/>
      <c r="AH16" s="8"/>
      <c r="AI16" s="3"/>
      <c r="AJ16" s="8"/>
      <c r="AK16" s="3"/>
      <c r="AL16" s="8"/>
      <c r="AM16" s="3"/>
      <c r="AN16" s="8"/>
      <c r="AO16" s="3"/>
      <c r="AP16" s="3"/>
      <c r="AQ16" s="3"/>
      <c r="AR16" s="3"/>
      <c r="AS16" s="3"/>
      <c r="AT16" s="3"/>
      <c r="AU16" s="3"/>
      <c r="AV16" s="8"/>
      <c r="AW16" s="3"/>
      <c r="AX16" s="3"/>
      <c r="AY16" s="3"/>
      <c r="AZ16" s="8"/>
      <c r="BA16" s="3"/>
      <c r="BB16" s="8"/>
      <c r="BC16" s="3"/>
      <c r="BD16" s="3"/>
      <c r="BE16" s="3"/>
      <c r="BF16" s="8"/>
      <c r="BG16" s="3"/>
      <c r="BH16" s="3"/>
      <c r="BI16" s="3"/>
      <c r="BJ16" s="8"/>
      <c r="BK16" s="3"/>
      <c r="BL16" s="3"/>
      <c r="BM16" s="3"/>
      <c r="BN16" s="8"/>
      <c r="BO16" s="3"/>
      <c r="BP16" s="8"/>
      <c r="BQ16" s="3"/>
      <c r="BR16" s="8"/>
      <c r="BS16" s="3"/>
      <c r="BT16" s="3"/>
      <c r="BU16" s="3"/>
      <c r="BW16" s="3"/>
      <c r="CE16" s="59">
        <f t="shared" si="0"/>
        <v>2</v>
      </c>
      <c r="CF16" s="60">
        <f t="shared" si="2"/>
        <v>8.98876404494382E-2</v>
      </c>
    </row>
    <row r="17" spans="1:84" x14ac:dyDescent="0.25">
      <c r="A17" s="7" t="s">
        <v>24</v>
      </c>
      <c r="D17" s="8"/>
      <c r="E17" s="3"/>
      <c r="F17" s="2">
        <v>1</v>
      </c>
      <c r="G17" s="3">
        <f t="shared" si="3"/>
        <v>0.4329004329004329</v>
      </c>
      <c r="J17" s="2">
        <v>24</v>
      </c>
      <c r="K17" s="3">
        <f t="shared" si="1"/>
        <v>8.2474226804123703</v>
      </c>
      <c r="L17" s="8"/>
      <c r="M17" s="3"/>
      <c r="N17" s="2">
        <v>2</v>
      </c>
      <c r="O17" s="3">
        <f t="shared" si="5"/>
        <v>1.7543859649122808</v>
      </c>
      <c r="P17" s="8"/>
      <c r="Q17" s="3"/>
      <c r="R17" s="8">
        <v>1</v>
      </c>
      <c r="S17" s="3">
        <f t="shared" si="6"/>
        <v>0.9174311926605504</v>
      </c>
      <c r="T17" s="3"/>
      <c r="U17" s="3"/>
      <c r="W17" s="3"/>
      <c r="X17" s="8">
        <v>1</v>
      </c>
      <c r="Y17" s="3">
        <f>X17/11%</f>
        <v>9.0909090909090917</v>
      </c>
      <c r="Z17" s="8"/>
      <c r="AA17" s="3"/>
      <c r="AB17" s="8"/>
      <c r="AC17" s="3"/>
      <c r="AD17" s="8">
        <v>1</v>
      </c>
      <c r="AE17" s="3">
        <f t="shared" si="11"/>
        <v>1.4925373134328357</v>
      </c>
      <c r="AF17" s="8">
        <v>1</v>
      </c>
      <c r="AG17" s="3">
        <f>AF17/44%</f>
        <v>2.2727272727272729</v>
      </c>
      <c r="AH17" s="8"/>
      <c r="AI17" s="3"/>
      <c r="AJ17" s="8"/>
      <c r="AK17" s="3"/>
      <c r="AL17" s="8"/>
      <c r="AM17" s="3"/>
      <c r="AN17" s="8"/>
      <c r="AO17" s="3"/>
      <c r="AP17" s="3"/>
      <c r="AQ17" s="3"/>
      <c r="AR17" s="3"/>
      <c r="AS17" s="3"/>
      <c r="AT17" s="3"/>
      <c r="AU17" s="3"/>
      <c r="AV17" s="8"/>
      <c r="AW17" s="3"/>
      <c r="AX17" s="3"/>
      <c r="AY17" s="3"/>
      <c r="AZ17" s="8">
        <v>2</v>
      </c>
      <c r="BA17" s="3">
        <f t="shared" si="8"/>
        <v>1.1627906976744187</v>
      </c>
      <c r="BB17" s="8">
        <v>1</v>
      </c>
      <c r="BC17" s="3">
        <f t="shared" si="9"/>
        <v>0.25</v>
      </c>
      <c r="BD17" s="3"/>
      <c r="BE17" s="3"/>
      <c r="BF17" s="8"/>
      <c r="BG17" s="3"/>
      <c r="BH17" s="3"/>
      <c r="BI17" s="3"/>
      <c r="BJ17" s="8"/>
      <c r="BK17" s="3"/>
      <c r="BL17" s="8">
        <v>1</v>
      </c>
      <c r="BM17" s="3">
        <f>BL17/17%</f>
        <v>5.8823529411764701</v>
      </c>
      <c r="BN17" s="8"/>
      <c r="BO17" s="3"/>
      <c r="BP17" s="8">
        <v>1</v>
      </c>
      <c r="BQ17" s="3">
        <f t="shared" si="14"/>
        <v>6.25</v>
      </c>
      <c r="BR17" s="8"/>
      <c r="BS17" s="3"/>
      <c r="BT17" s="3"/>
      <c r="BU17" s="3"/>
      <c r="BW17" s="3"/>
      <c r="CE17" s="59">
        <f t="shared" si="0"/>
        <v>36</v>
      </c>
      <c r="CF17" s="60">
        <f t="shared" si="2"/>
        <v>1.6179775280898876</v>
      </c>
    </row>
    <row r="18" spans="1:84" x14ac:dyDescent="0.25">
      <c r="A18" s="7" t="s">
        <v>134</v>
      </c>
      <c r="B18" s="2">
        <v>1</v>
      </c>
      <c r="C18" s="3">
        <f>B18/33%</f>
        <v>3.0303030303030303</v>
      </c>
      <c r="D18" s="8"/>
      <c r="E18" s="3"/>
      <c r="F18" s="1"/>
      <c r="G18" s="3"/>
      <c r="K18" s="3"/>
      <c r="L18" s="8"/>
      <c r="M18" s="3"/>
      <c r="O18" s="3"/>
      <c r="P18" s="8"/>
      <c r="Q18" s="3"/>
      <c r="R18" s="8"/>
      <c r="S18" s="3"/>
      <c r="T18" s="3"/>
      <c r="U18" s="3"/>
      <c r="W18" s="3"/>
      <c r="X18" s="8"/>
      <c r="Y18" s="3"/>
      <c r="Z18" s="8"/>
      <c r="AA18" s="3"/>
      <c r="AB18" s="8"/>
      <c r="AC18" s="3"/>
      <c r="AD18" s="8"/>
      <c r="AE18" s="3"/>
      <c r="AF18" s="8"/>
      <c r="AG18" s="3"/>
      <c r="AH18" s="8"/>
      <c r="AI18" s="3"/>
      <c r="AJ18" s="8"/>
      <c r="AK18" s="3"/>
      <c r="AL18" s="8"/>
      <c r="AM18" s="3"/>
      <c r="AN18" s="8"/>
      <c r="AO18" s="3"/>
      <c r="AP18" s="3"/>
      <c r="AQ18" s="3"/>
      <c r="AR18" s="3"/>
      <c r="AS18" s="3"/>
      <c r="AT18" s="3"/>
      <c r="AU18" s="3"/>
      <c r="AV18" s="8"/>
      <c r="AW18" s="3"/>
      <c r="AX18" s="3"/>
      <c r="AY18" s="3"/>
      <c r="AZ18" s="8"/>
      <c r="BA18" s="3"/>
      <c r="BB18" s="8"/>
      <c r="BC18" s="3"/>
      <c r="BD18" s="3"/>
      <c r="BE18" s="3"/>
      <c r="BF18" s="8"/>
      <c r="BG18" s="3"/>
      <c r="BH18" s="3"/>
      <c r="BI18" s="3"/>
      <c r="BJ18" s="8"/>
      <c r="BK18" s="3"/>
      <c r="BL18" s="8"/>
      <c r="BM18" s="3"/>
      <c r="BN18" s="8"/>
      <c r="BO18" s="3"/>
      <c r="BP18" s="8"/>
      <c r="BQ18" s="3"/>
      <c r="BR18" s="8"/>
      <c r="BS18" s="3"/>
      <c r="BT18" s="3"/>
      <c r="BU18" s="3"/>
      <c r="BW18" s="3"/>
      <c r="CE18" s="59">
        <f t="shared" si="0"/>
        <v>1</v>
      </c>
      <c r="CF18" s="60">
        <f t="shared" si="2"/>
        <v>4.49438202247191E-2</v>
      </c>
    </row>
    <row r="19" spans="1:84" x14ac:dyDescent="0.25">
      <c r="A19" s="7" t="s">
        <v>25</v>
      </c>
      <c r="C19" s="3"/>
      <c r="D19" s="8"/>
      <c r="E19" s="3"/>
      <c r="F19" s="1"/>
      <c r="G19" s="3"/>
      <c r="K19" s="3"/>
      <c r="L19" s="8">
        <v>3</v>
      </c>
      <c r="M19" s="3">
        <f t="shared" si="15"/>
        <v>2.2222222222222219</v>
      </c>
      <c r="O19" s="3"/>
      <c r="P19" s="8"/>
      <c r="Q19" s="3"/>
      <c r="R19" s="8"/>
      <c r="S19" s="3"/>
      <c r="T19" s="3"/>
      <c r="U19" s="3"/>
      <c r="V19" s="2">
        <v>1</v>
      </c>
      <c r="W19" s="3">
        <f t="shared" si="13"/>
        <v>1.1363636363636365</v>
      </c>
      <c r="X19" s="8"/>
      <c r="Y19" s="3"/>
      <c r="Z19" s="8"/>
      <c r="AA19" s="3"/>
      <c r="AB19" s="8"/>
      <c r="AC19" s="3"/>
      <c r="AD19" s="8"/>
      <c r="AE19" s="3"/>
      <c r="AF19" s="8"/>
      <c r="AG19" s="3"/>
      <c r="AH19" s="8"/>
      <c r="AI19" s="3"/>
      <c r="AJ19" s="8"/>
      <c r="AK19" s="3"/>
      <c r="AL19" s="8"/>
      <c r="AM19" s="3"/>
      <c r="AN19" s="8"/>
      <c r="AO19" s="3"/>
      <c r="AP19" s="3"/>
      <c r="AQ19" s="3"/>
      <c r="AR19" s="3"/>
      <c r="AS19" s="3"/>
      <c r="AT19" s="3"/>
      <c r="AU19" s="3"/>
      <c r="AV19" s="8"/>
      <c r="AW19" s="3"/>
      <c r="AX19" s="8"/>
      <c r="AY19" s="3"/>
      <c r="AZ19" s="8"/>
      <c r="BA19" s="3"/>
      <c r="BB19" s="8"/>
      <c r="BC19" s="3"/>
      <c r="BD19" s="3"/>
      <c r="BE19" s="3"/>
      <c r="BF19" s="8">
        <v>1</v>
      </c>
      <c r="BG19" s="3">
        <f t="shared" si="10"/>
        <v>0.78125</v>
      </c>
      <c r="BH19" s="3"/>
      <c r="BI19" s="3"/>
      <c r="BJ19" s="8"/>
      <c r="BK19" s="3"/>
      <c r="BL19" s="8"/>
      <c r="BM19" s="3"/>
      <c r="BN19" s="8"/>
      <c r="BO19" s="3"/>
      <c r="BP19" s="8"/>
      <c r="BQ19" s="3"/>
      <c r="BR19" s="8"/>
      <c r="BS19" s="3"/>
      <c r="BT19" s="3"/>
      <c r="BU19" s="3"/>
      <c r="BW19" s="3"/>
      <c r="CE19" s="59">
        <f t="shared" si="0"/>
        <v>5</v>
      </c>
      <c r="CF19" s="60">
        <f t="shared" si="2"/>
        <v>0.2247191011235955</v>
      </c>
    </row>
    <row r="20" spans="1:84" x14ac:dyDescent="0.25">
      <c r="A20" s="7" t="s">
        <v>26</v>
      </c>
      <c r="B20" s="2">
        <v>3</v>
      </c>
      <c r="C20" s="3">
        <f t="shared" ref="C20:C28" si="17">B20/33%</f>
        <v>9.0909090909090899</v>
      </c>
      <c r="D20" s="8">
        <v>12</v>
      </c>
      <c r="E20" s="3">
        <f t="shared" ref="E20:E28" si="18">D20/58%</f>
        <v>20.689655172413794</v>
      </c>
      <c r="F20" s="2">
        <v>18</v>
      </c>
      <c r="G20" s="3">
        <f t="shared" si="3"/>
        <v>7.7922077922077921</v>
      </c>
      <c r="H20" s="3"/>
      <c r="I20" s="3"/>
      <c r="J20" s="2">
        <v>24</v>
      </c>
      <c r="K20" s="3">
        <f t="shared" si="1"/>
        <v>8.2474226804123703</v>
      </c>
      <c r="L20" s="8">
        <v>6</v>
      </c>
      <c r="M20" s="3">
        <f t="shared" si="15"/>
        <v>4.4444444444444438</v>
      </c>
      <c r="N20" s="2">
        <v>6</v>
      </c>
      <c r="O20" s="3">
        <f t="shared" si="5"/>
        <v>5.2631578947368425</v>
      </c>
      <c r="P20" s="8">
        <v>2</v>
      </c>
      <c r="Q20" s="3">
        <f t="shared" si="12"/>
        <v>6.25</v>
      </c>
      <c r="R20" s="8">
        <v>5</v>
      </c>
      <c r="S20" s="3">
        <f t="shared" si="6"/>
        <v>4.5871559633027523</v>
      </c>
      <c r="T20" s="3"/>
      <c r="U20" s="3"/>
      <c r="V20" s="2">
        <v>4</v>
      </c>
      <c r="W20" s="3">
        <f t="shared" si="13"/>
        <v>4.5454545454545459</v>
      </c>
      <c r="X20" s="8">
        <v>3</v>
      </c>
      <c r="Y20" s="3">
        <f t="shared" ref="Y20:Y28" si="19">X20/11%</f>
        <v>27.272727272727273</v>
      </c>
      <c r="Z20" s="8"/>
      <c r="AA20" s="3"/>
      <c r="AB20" s="8">
        <v>2</v>
      </c>
      <c r="AC20" s="3">
        <f t="shared" ref="AC20:AC28" si="20">AB20/13%</f>
        <v>15.384615384615383</v>
      </c>
      <c r="AD20" s="8">
        <v>13</v>
      </c>
      <c r="AE20" s="3">
        <f t="shared" si="11"/>
        <v>19.402985074626866</v>
      </c>
      <c r="AF20" s="8">
        <v>1</v>
      </c>
      <c r="AG20" s="3">
        <f>AF20/44%</f>
        <v>2.2727272727272729</v>
      </c>
      <c r="AH20" s="8">
        <v>3</v>
      </c>
      <c r="AI20" s="3">
        <f>AH20/20%</f>
        <v>15</v>
      </c>
      <c r="AJ20" s="8">
        <v>1</v>
      </c>
      <c r="AK20" s="3">
        <f t="shared" si="4"/>
        <v>1.7543859649122808</v>
      </c>
      <c r="AL20" s="8">
        <v>2</v>
      </c>
      <c r="AM20" s="3">
        <f>AL20/19%</f>
        <v>10.526315789473685</v>
      </c>
      <c r="AN20" s="8"/>
      <c r="AO20" s="3"/>
      <c r="AP20" s="3"/>
      <c r="AQ20" s="3"/>
      <c r="AR20" s="8">
        <v>1</v>
      </c>
      <c r="AS20" s="3">
        <f>AR20/5%</f>
        <v>20</v>
      </c>
      <c r="AT20" s="8">
        <v>1</v>
      </c>
      <c r="AU20" s="3">
        <f>AT20/1%</f>
        <v>100</v>
      </c>
      <c r="AV20" s="8">
        <v>5</v>
      </c>
      <c r="AW20" s="3">
        <f t="shared" si="7"/>
        <v>27.777777777777779</v>
      </c>
      <c r="AX20" s="8">
        <v>1</v>
      </c>
      <c r="AY20" s="3">
        <f>AX20/9%</f>
        <v>11.111111111111111</v>
      </c>
      <c r="AZ20" s="8">
        <v>14</v>
      </c>
      <c r="BA20" s="3">
        <f t="shared" si="8"/>
        <v>8.1395348837209305</v>
      </c>
      <c r="BB20" s="8">
        <v>94</v>
      </c>
      <c r="BC20" s="3">
        <f t="shared" si="9"/>
        <v>23.5</v>
      </c>
      <c r="BD20" s="3"/>
      <c r="BE20" s="3"/>
      <c r="BF20" s="8">
        <v>23</v>
      </c>
      <c r="BG20" s="3">
        <f t="shared" si="10"/>
        <v>17.96875</v>
      </c>
      <c r="BH20" s="3"/>
      <c r="BI20" s="3"/>
      <c r="BJ20" s="8">
        <v>2</v>
      </c>
      <c r="BK20" s="3">
        <f t="shared" si="16"/>
        <v>11.76470588235294</v>
      </c>
      <c r="BL20" s="8">
        <v>1</v>
      </c>
      <c r="BM20" s="3">
        <f t="shared" ref="BM20:BM28" si="21">BL20/17%</f>
        <v>5.8823529411764701</v>
      </c>
      <c r="BN20" s="8">
        <v>2</v>
      </c>
      <c r="BO20" s="3">
        <f t="shared" ref="BO20:BO28" si="22">BN20/9%</f>
        <v>22.222222222222221</v>
      </c>
      <c r="BP20" s="8">
        <v>2</v>
      </c>
      <c r="BQ20" s="3">
        <f t="shared" si="14"/>
        <v>12.5</v>
      </c>
      <c r="BR20" s="8">
        <v>14</v>
      </c>
      <c r="BS20" s="3">
        <f t="shared" ref="BS20:BS28" si="23">BR20/33%</f>
        <v>42.424242424242422</v>
      </c>
      <c r="BT20" s="8">
        <v>1</v>
      </c>
      <c r="BU20" s="3">
        <f>BT20/11%</f>
        <v>9.0909090909090917</v>
      </c>
      <c r="BW20" s="3"/>
      <c r="BX20" s="18">
        <v>2</v>
      </c>
      <c r="BY20" s="23">
        <f>(ROUND((BX20/BX29)*100,1))</f>
        <v>11.8</v>
      </c>
      <c r="CE20" s="59">
        <f t="shared" si="0"/>
        <v>266</v>
      </c>
      <c r="CF20" s="60">
        <f t="shared" si="2"/>
        <v>11.955056179775282</v>
      </c>
    </row>
    <row r="21" spans="1:84" x14ac:dyDescent="0.25">
      <c r="A21" s="7" t="s">
        <v>135</v>
      </c>
      <c r="C21" s="3"/>
      <c r="D21" s="8"/>
      <c r="E21" s="3"/>
      <c r="G21" s="3"/>
      <c r="H21" s="3"/>
      <c r="I21" s="3"/>
      <c r="K21" s="3"/>
      <c r="L21" s="8"/>
      <c r="M21" s="3"/>
      <c r="O21" s="3"/>
      <c r="P21" s="8"/>
      <c r="Q21" s="3"/>
      <c r="R21" s="8"/>
      <c r="S21" s="3"/>
      <c r="T21" s="3"/>
      <c r="U21" s="3"/>
      <c r="W21" s="3"/>
      <c r="X21" s="8"/>
      <c r="Y21" s="3"/>
      <c r="Z21" s="8"/>
      <c r="AA21" s="3"/>
      <c r="AB21" s="8"/>
      <c r="AC21" s="3"/>
      <c r="AD21" s="8"/>
      <c r="AE21" s="3"/>
      <c r="AF21" s="8"/>
      <c r="AG21" s="3"/>
      <c r="AH21" s="8"/>
      <c r="AI21" s="3"/>
      <c r="AJ21" s="8"/>
      <c r="AK21" s="3"/>
      <c r="AL21" s="8"/>
      <c r="AM21" s="3"/>
      <c r="AN21" s="8"/>
      <c r="AO21" s="3"/>
      <c r="AP21" s="3"/>
      <c r="AQ21" s="3"/>
      <c r="AR21" s="8"/>
      <c r="AS21" s="3"/>
      <c r="AT21" s="3"/>
      <c r="AU21" s="3"/>
      <c r="AV21" s="8"/>
      <c r="AW21" s="3"/>
      <c r="AX21" s="8"/>
      <c r="AY21" s="3"/>
      <c r="AZ21" s="8"/>
      <c r="BA21" s="3"/>
      <c r="BB21" s="8">
        <v>1</v>
      </c>
      <c r="BC21" s="3">
        <f t="shared" si="9"/>
        <v>0.25</v>
      </c>
      <c r="BD21" s="3"/>
      <c r="BE21" s="3"/>
      <c r="BF21" s="8"/>
      <c r="BG21" s="3"/>
      <c r="BH21" s="3"/>
      <c r="BI21" s="3"/>
      <c r="BJ21" s="8"/>
      <c r="BK21" s="3"/>
      <c r="BL21" s="8"/>
      <c r="BM21" s="3"/>
      <c r="BN21" s="8"/>
      <c r="BO21" s="3"/>
      <c r="BP21" s="8"/>
      <c r="BQ21" s="3"/>
      <c r="BR21" s="8"/>
      <c r="BS21" s="3"/>
      <c r="BT21" s="8"/>
      <c r="BU21" s="3"/>
      <c r="BW21" s="3"/>
      <c r="CE21" s="59">
        <f t="shared" si="0"/>
        <v>1</v>
      </c>
      <c r="CF21" s="60">
        <f t="shared" si="2"/>
        <v>4.49438202247191E-2</v>
      </c>
    </row>
    <row r="22" spans="1:84" x14ac:dyDescent="0.25">
      <c r="A22" s="7" t="s">
        <v>27</v>
      </c>
      <c r="C22" s="3"/>
      <c r="D22" s="8"/>
      <c r="E22" s="3"/>
      <c r="F22" s="1"/>
      <c r="G22" s="3"/>
      <c r="H22" s="3"/>
      <c r="I22" s="3"/>
      <c r="K22" s="3"/>
      <c r="L22" s="8">
        <v>1</v>
      </c>
      <c r="M22" s="3">
        <f t="shared" si="15"/>
        <v>0.7407407407407407</v>
      </c>
      <c r="O22" s="3"/>
      <c r="P22" s="8"/>
      <c r="Q22" s="3"/>
      <c r="R22" s="8"/>
      <c r="S22" s="3"/>
      <c r="T22" s="3"/>
      <c r="U22" s="3"/>
      <c r="W22" s="3"/>
      <c r="X22" s="8"/>
      <c r="Y22" s="3"/>
      <c r="Z22" s="8"/>
      <c r="AA22" s="3"/>
      <c r="AB22" s="8"/>
      <c r="AC22" s="3"/>
      <c r="AD22" s="8"/>
      <c r="AE22" s="3"/>
      <c r="AF22" s="8"/>
      <c r="AG22" s="3"/>
      <c r="AH22" s="8"/>
      <c r="AI22" s="3"/>
      <c r="AJ22" s="8"/>
      <c r="AK22" s="3"/>
      <c r="AL22" s="8">
        <v>1</v>
      </c>
      <c r="AM22" s="3">
        <f>AL22/19%</f>
        <v>5.2631578947368425</v>
      </c>
      <c r="AN22" s="8"/>
      <c r="AO22" s="3"/>
      <c r="AP22" s="3"/>
      <c r="AQ22" s="3"/>
      <c r="AR22" s="8"/>
      <c r="AS22" s="3"/>
      <c r="AT22" s="3"/>
      <c r="AU22" s="3"/>
      <c r="AV22" s="8"/>
      <c r="AW22" s="3"/>
      <c r="AX22" s="8"/>
      <c r="AY22" s="3"/>
      <c r="AZ22" s="8"/>
      <c r="BA22" s="3"/>
      <c r="BB22" s="8"/>
      <c r="BC22" s="3"/>
      <c r="BD22" s="3"/>
      <c r="BE22" s="3"/>
      <c r="BF22" s="8"/>
      <c r="BG22" s="3"/>
      <c r="BH22" s="8"/>
      <c r="BI22" s="3"/>
      <c r="BJ22" s="8">
        <v>1</v>
      </c>
      <c r="BK22" s="3">
        <f t="shared" si="16"/>
        <v>5.8823529411764701</v>
      </c>
      <c r="BL22" s="8"/>
      <c r="BM22" s="3"/>
      <c r="BN22" s="8"/>
      <c r="BO22" s="3"/>
      <c r="BP22" s="8"/>
      <c r="BQ22" s="3"/>
      <c r="BR22" s="8"/>
      <c r="BS22" s="3"/>
      <c r="BT22" s="8"/>
      <c r="BU22" s="3"/>
      <c r="BW22" s="3"/>
      <c r="CE22" s="59">
        <f t="shared" si="0"/>
        <v>3</v>
      </c>
      <c r="CF22" s="60">
        <f t="shared" si="2"/>
        <v>0.1348314606741573</v>
      </c>
    </row>
    <row r="23" spans="1:84" x14ac:dyDescent="0.25">
      <c r="A23" s="7" t="s">
        <v>28</v>
      </c>
      <c r="B23" s="2">
        <v>2</v>
      </c>
      <c r="C23" s="3">
        <f t="shared" si="17"/>
        <v>6.0606060606060606</v>
      </c>
      <c r="D23" s="8">
        <v>4</v>
      </c>
      <c r="E23" s="3">
        <f t="shared" si="18"/>
        <v>6.8965517241379315</v>
      </c>
      <c r="F23" s="2">
        <v>4</v>
      </c>
      <c r="G23" s="3">
        <f t="shared" si="3"/>
        <v>1.7316017316017316</v>
      </c>
      <c r="H23" s="3"/>
      <c r="I23" s="3"/>
      <c r="J23" s="2">
        <v>13</v>
      </c>
      <c r="K23" s="3">
        <f t="shared" si="1"/>
        <v>4.4673539518900345</v>
      </c>
      <c r="L23" s="8">
        <v>6</v>
      </c>
      <c r="M23" s="3">
        <f t="shared" si="15"/>
        <v>4.4444444444444438</v>
      </c>
      <c r="N23" s="2">
        <v>4</v>
      </c>
      <c r="O23" s="3">
        <f t="shared" si="5"/>
        <v>3.5087719298245617</v>
      </c>
      <c r="P23" s="8"/>
      <c r="Q23" s="3"/>
      <c r="R23" s="8">
        <v>3</v>
      </c>
      <c r="S23" s="3">
        <f t="shared" si="6"/>
        <v>2.7522935779816513</v>
      </c>
      <c r="T23" s="3"/>
      <c r="U23" s="3"/>
      <c r="V23" s="2">
        <v>5</v>
      </c>
      <c r="W23" s="3">
        <f t="shared" si="13"/>
        <v>5.6818181818181817</v>
      </c>
      <c r="X23" s="8">
        <v>1</v>
      </c>
      <c r="Y23" s="3">
        <f t="shared" si="19"/>
        <v>9.0909090909090917</v>
      </c>
      <c r="Z23" s="8"/>
      <c r="AA23" s="3"/>
      <c r="AB23" s="8">
        <v>2</v>
      </c>
      <c r="AC23" s="3">
        <f t="shared" si="20"/>
        <v>15.384615384615383</v>
      </c>
      <c r="AD23" s="8">
        <v>9</v>
      </c>
      <c r="AE23" s="3">
        <f t="shared" si="11"/>
        <v>13.432835820895521</v>
      </c>
      <c r="AF23" s="8"/>
      <c r="AG23" s="3"/>
      <c r="AH23" s="8">
        <v>7</v>
      </c>
      <c r="AI23" s="3">
        <f>AH23/20%</f>
        <v>35</v>
      </c>
      <c r="AJ23" s="8">
        <v>1</v>
      </c>
      <c r="AK23" s="3">
        <f t="shared" si="4"/>
        <v>1.7543859649122808</v>
      </c>
      <c r="AL23" s="8">
        <v>6</v>
      </c>
      <c r="AM23" s="3">
        <f>AL23/19%</f>
        <v>31.578947368421051</v>
      </c>
      <c r="AN23" s="8">
        <v>1</v>
      </c>
      <c r="AO23" s="3">
        <f>AN23/51%</f>
        <v>1.9607843137254901</v>
      </c>
      <c r="AP23" s="3"/>
      <c r="AQ23" s="3"/>
      <c r="AR23" s="8"/>
      <c r="AS23" s="3"/>
      <c r="AT23" s="3"/>
      <c r="AU23" s="3"/>
      <c r="AV23" s="8">
        <v>1</v>
      </c>
      <c r="AW23" s="3">
        <f t="shared" si="7"/>
        <v>5.5555555555555554</v>
      </c>
      <c r="AX23" s="8"/>
      <c r="AY23" s="3"/>
      <c r="AZ23" s="8">
        <v>36</v>
      </c>
      <c r="BA23" s="3">
        <f t="shared" si="8"/>
        <v>20.930232558139537</v>
      </c>
      <c r="BB23" s="8">
        <v>58</v>
      </c>
      <c r="BC23" s="3">
        <f t="shared" si="9"/>
        <v>14.5</v>
      </c>
      <c r="BD23" s="3"/>
      <c r="BE23" s="3"/>
      <c r="BF23" s="8">
        <v>15</v>
      </c>
      <c r="BG23" s="3">
        <f t="shared" si="10"/>
        <v>11.71875</v>
      </c>
      <c r="BH23" s="8">
        <v>2</v>
      </c>
      <c r="BI23" s="3">
        <f>BH23/4%</f>
        <v>50</v>
      </c>
      <c r="BJ23" s="8">
        <v>3</v>
      </c>
      <c r="BK23" s="3">
        <f t="shared" si="16"/>
        <v>17.647058823529409</v>
      </c>
      <c r="BL23" s="8"/>
      <c r="BM23" s="3"/>
      <c r="BN23" s="8"/>
      <c r="BO23" s="3"/>
      <c r="BP23" s="8">
        <v>2</v>
      </c>
      <c r="BQ23" s="3">
        <f t="shared" si="14"/>
        <v>12.5</v>
      </c>
      <c r="BR23" s="8">
        <v>4</v>
      </c>
      <c r="BS23" s="3">
        <f t="shared" si="23"/>
        <v>12.121212121212121</v>
      </c>
      <c r="BT23" s="8"/>
      <c r="BU23" s="3"/>
      <c r="BW23" s="3"/>
      <c r="BX23" s="18">
        <v>3</v>
      </c>
      <c r="BY23" s="23">
        <f>(ROUND((BX23/BX29)*100,1))</f>
        <v>17.600000000000001</v>
      </c>
      <c r="CE23" s="59">
        <f t="shared" si="0"/>
        <v>189</v>
      </c>
      <c r="CF23" s="60">
        <f t="shared" si="2"/>
        <v>8.4943820224719104</v>
      </c>
    </row>
    <row r="24" spans="1:84" s="23" customFormat="1" x14ac:dyDescent="0.25">
      <c r="A24" s="37" t="s">
        <v>29</v>
      </c>
      <c r="B24" s="21"/>
      <c r="C24" s="38"/>
      <c r="D24" s="39">
        <v>2</v>
      </c>
      <c r="E24" s="38">
        <f t="shared" si="18"/>
        <v>3.4482758620689657</v>
      </c>
      <c r="F24" s="21">
        <v>1</v>
      </c>
      <c r="G24" s="38">
        <f t="shared" si="3"/>
        <v>0.4329004329004329</v>
      </c>
      <c r="H24" s="38"/>
      <c r="I24" s="38"/>
      <c r="J24" s="21">
        <v>6</v>
      </c>
      <c r="K24" s="38">
        <f t="shared" si="1"/>
        <v>2.0618556701030926</v>
      </c>
      <c r="L24" s="39">
        <v>2</v>
      </c>
      <c r="M24" s="38">
        <f t="shared" si="15"/>
        <v>1.4814814814814814</v>
      </c>
      <c r="N24" s="21"/>
      <c r="O24" s="38"/>
      <c r="P24" s="39">
        <v>1</v>
      </c>
      <c r="Q24" s="38">
        <f t="shared" si="12"/>
        <v>3.125</v>
      </c>
      <c r="R24" s="39">
        <v>2</v>
      </c>
      <c r="S24" s="38">
        <f t="shared" si="6"/>
        <v>1.8348623853211008</v>
      </c>
      <c r="T24" s="38"/>
      <c r="U24" s="38"/>
      <c r="V24" s="21"/>
      <c r="W24" s="38"/>
      <c r="X24" s="39"/>
      <c r="Y24" s="38"/>
      <c r="Z24" s="39"/>
      <c r="AA24" s="38"/>
      <c r="AB24" s="39"/>
      <c r="AC24" s="38"/>
      <c r="AD24" s="39">
        <v>2</v>
      </c>
      <c r="AE24" s="38">
        <f t="shared" si="11"/>
        <v>2.9850746268656714</v>
      </c>
      <c r="AF24" s="39"/>
      <c r="AG24" s="38"/>
      <c r="AH24" s="39"/>
      <c r="AI24" s="38"/>
      <c r="AJ24" s="39"/>
      <c r="AK24" s="38"/>
      <c r="AL24" s="39">
        <v>2</v>
      </c>
      <c r="AM24" s="3">
        <f>AL24/19%</f>
        <v>10.526315789473685</v>
      </c>
      <c r="AN24" s="39">
        <v>1</v>
      </c>
      <c r="AO24" s="3">
        <f>AN24/51%</f>
        <v>1.9607843137254901</v>
      </c>
      <c r="AP24" s="38"/>
      <c r="AQ24" s="38"/>
      <c r="AR24" s="39"/>
      <c r="AS24" s="38"/>
      <c r="AT24" s="38"/>
      <c r="AU24" s="38"/>
      <c r="AV24" s="39">
        <v>4</v>
      </c>
      <c r="AW24" s="38">
        <f t="shared" si="7"/>
        <v>22.222222222222221</v>
      </c>
      <c r="AX24" s="39"/>
      <c r="AY24" s="38"/>
      <c r="AZ24" s="39">
        <v>4</v>
      </c>
      <c r="BA24" s="38">
        <f t="shared" si="8"/>
        <v>2.3255813953488373</v>
      </c>
      <c r="BB24" s="39">
        <v>13</v>
      </c>
      <c r="BC24" s="38">
        <f t="shared" si="9"/>
        <v>3.25</v>
      </c>
      <c r="BD24" s="38"/>
      <c r="BE24" s="38"/>
      <c r="BF24" s="39">
        <v>6</v>
      </c>
      <c r="BG24" s="38">
        <f t="shared" si="10"/>
        <v>4.6875</v>
      </c>
      <c r="BH24" s="39"/>
      <c r="BI24" s="38"/>
      <c r="BJ24" s="39"/>
      <c r="BK24" s="38"/>
      <c r="BL24" s="39">
        <v>1</v>
      </c>
      <c r="BM24" s="38">
        <f t="shared" si="21"/>
        <v>5.8823529411764701</v>
      </c>
      <c r="BN24" s="39"/>
      <c r="BO24" s="38"/>
      <c r="BP24" s="39"/>
      <c r="BQ24" s="38"/>
      <c r="BR24" s="39"/>
      <c r="BS24" s="38"/>
      <c r="BT24" s="39">
        <v>1</v>
      </c>
      <c r="BU24" s="38">
        <f t="shared" ref="BU24:BU28" si="24">BT24/11%</f>
        <v>9.0909090909090917</v>
      </c>
      <c r="BV24" s="21">
        <v>2</v>
      </c>
      <c r="BW24" s="38">
        <f>BV24/2%</f>
        <v>100</v>
      </c>
      <c r="BX24" s="23">
        <v>1</v>
      </c>
      <c r="BY24" s="23">
        <f>(ROUND((BX24/BX29)*100,1))</f>
        <v>5.9</v>
      </c>
      <c r="BZ24" s="23">
        <v>1</v>
      </c>
      <c r="CA24" s="23">
        <f>(ROUND((BZ24/BZ29)*100,1))</f>
        <v>25</v>
      </c>
      <c r="CE24" s="59">
        <f t="shared" si="0"/>
        <v>50</v>
      </c>
      <c r="CF24" s="60">
        <f t="shared" si="2"/>
        <v>2.2471910112359552</v>
      </c>
    </row>
    <row r="25" spans="1:84" x14ac:dyDescent="0.25">
      <c r="A25" s="1" t="s">
        <v>89</v>
      </c>
      <c r="C25" s="3"/>
      <c r="D25" s="8"/>
      <c r="E25" s="3"/>
      <c r="G25" s="3"/>
      <c r="H25" s="3"/>
      <c r="I25" s="3"/>
      <c r="K25" s="3"/>
      <c r="L25" s="8">
        <v>1</v>
      </c>
      <c r="M25" s="3">
        <f t="shared" si="15"/>
        <v>0.7407407407407407</v>
      </c>
      <c r="O25" s="3"/>
      <c r="P25" s="8"/>
      <c r="Q25" s="3"/>
      <c r="R25" s="8">
        <v>1</v>
      </c>
      <c r="S25" s="3">
        <f t="shared" si="6"/>
        <v>0.9174311926605504</v>
      </c>
      <c r="T25" s="3"/>
      <c r="U25" s="3"/>
      <c r="W25" s="3"/>
      <c r="X25" s="8"/>
      <c r="Y25" s="3"/>
      <c r="Z25" s="8"/>
      <c r="AA25" s="3"/>
      <c r="AB25" s="8"/>
      <c r="AC25" s="3"/>
      <c r="AD25" s="8"/>
      <c r="AE25" s="3"/>
      <c r="AF25" s="8"/>
      <c r="AG25" s="3"/>
      <c r="AH25" s="8"/>
      <c r="AI25" s="3"/>
      <c r="AJ25" s="8"/>
      <c r="AK25" s="3"/>
      <c r="AL25" s="8"/>
      <c r="AM25" s="3"/>
      <c r="AN25" s="8"/>
      <c r="AO25" s="3"/>
      <c r="AP25" s="3"/>
      <c r="AQ25" s="3"/>
      <c r="AR25" s="8"/>
      <c r="AS25" s="3"/>
      <c r="AT25" s="3"/>
      <c r="AU25" s="3"/>
      <c r="AV25" s="8">
        <v>1</v>
      </c>
      <c r="AW25" s="3">
        <f t="shared" si="7"/>
        <v>5.5555555555555554</v>
      </c>
      <c r="AX25" s="8"/>
      <c r="AY25" s="3"/>
      <c r="AZ25" s="8"/>
      <c r="BA25" s="3"/>
      <c r="BB25" s="8"/>
      <c r="BC25" s="3"/>
      <c r="BD25" s="3"/>
      <c r="BE25" s="3"/>
      <c r="BF25" s="8">
        <v>3</v>
      </c>
      <c r="BG25" s="3">
        <f t="shared" si="10"/>
        <v>2.34375</v>
      </c>
      <c r="BH25" s="8"/>
      <c r="BI25" s="3"/>
      <c r="BJ25" s="8">
        <v>1</v>
      </c>
      <c r="BK25" s="3">
        <f t="shared" si="16"/>
        <v>5.8823529411764701</v>
      </c>
      <c r="BL25" s="8"/>
      <c r="BM25" s="3"/>
      <c r="BN25" s="8"/>
      <c r="BO25" s="3"/>
      <c r="BP25" s="8"/>
      <c r="BQ25" s="3"/>
      <c r="BR25" s="8"/>
      <c r="BS25" s="3"/>
      <c r="BT25" s="8"/>
      <c r="BU25" s="3"/>
      <c r="BW25" s="3"/>
      <c r="CE25" s="59">
        <f t="shared" si="0"/>
        <v>7</v>
      </c>
      <c r="CF25" s="60">
        <f t="shared" si="2"/>
        <v>0.3146067415730337</v>
      </c>
    </row>
    <row r="26" spans="1:84" x14ac:dyDescent="0.25">
      <c r="A26" s="1" t="s">
        <v>30</v>
      </c>
      <c r="B26" s="2">
        <v>8</v>
      </c>
      <c r="C26" s="3">
        <f t="shared" si="17"/>
        <v>24.242424242424242</v>
      </c>
      <c r="D26" s="8">
        <v>3</v>
      </c>
      <c r="E26" s="3">
        <f t="shared" si="18"/>
        <v>5.1724137931034484</v>
      </c>
      <c r="G26" s="3"/>
      <c r="H26" s="8">
        <v>1</v>
      </c>
      <c r="I26" s="3">
        <f>H26/2%</f>
        <v>50</v>
      </c>
      <c r="J26" s="2">
        <v>7</v>
      </c>
      <c r="K26" s="3">
        <f t="shared" si="1"/>
        <v>2.4054982817869415</v>
      </c>
      <c r="L26" s="8">
        <v>6</v>
      </c>
      <c r="M26" s="3">
        <f t="shared" si="15"/>
        <v>4.4444444444444438</v>
      </c>
      <c r="N26" s="2">
        <v>6</v>
      </c>
      <c r="O26" s="3">
        <f t="shared" si="5"/>
        <v>5.2631578947368425</v>
      </c>
      <c r="P26" s="8">
        <v>2</v>
      </c>
      <c r="Q26" s="3">
        <f t="shared" si="12"/>
        <v>6.25</v>
      </c>
      <c r="R26" s="8">
        <v>2</v>
      </c>
      <c r="S26" s="3">
        <f t="shared" si="6"/>
        <v>1.8348623853211008</v>
      </c>
      <c r="T26" s="3"/>
      <c r="U26" s="3"/>
      <c r="V26" s="2">
        <v>1</v>
      </c>
      <c r="W26" s="3">
        <f t="shared" si="13"/>
        <v>1.1363636363636365</v>
      </c>
      <c r="X26" s="8">
        <v>2</v>
      </c>
      <c r="Y26" s="3">
        <f t="shared" si="19"/>
        <v>18.181818181818183</v>
      </c>
      <c r="Z26" s="8">
        <v>2</v>
      </c>
      <c r="AA26" s="3">
        <f>Z26/2%</f>
        <v>100</v>
      </c>
      <c r="AB26" s="8">
        <v>1</v>
      </c>
      <c r="AC26" s="3">
        <f t="shared" si="20"/>
        <v>7.6923076923076916</v>
      </c>
      <c r="AD26" s="8">
        <v>4</v>
      </c>
      <c r="AE26" s="3">
        <f t="shared" si="11"/>
        <v>5.9701492537313428</v>
      </c>
      <c r="AF26" s="8"/>
      <c r="AG26" s="3"/>
      <c r="AH26" s="8">
        <v>1</v>
      </c>
      <c r="AI26" s="3">
        <f>AH26/20%</f>
        <v>5</v>
      </c>
      <c r="AJ26" s="8">
        <v>1</v>
      </c>
      <c r="AK26" s="3">
        <f t="shared" si="4"/>
        <v>1.7543859649122808</v>
      </c>
      <c r="AL26" s="8">
        <v>1</v>
      </c>
      <c r="AM26" s="3">
        <f>AL26/19%</f>
        <v>5.2631578947368425</v>
      </c>
      <c r="AN26" s="8">
        <v>7</v>
      </c>
      <c r="AO26" s="3">
        <f>AN26/51%</f>
        <v>13.725490196078431</v>
      </c>
      <c r="AP26" s="3"/>
      <c r="AQ26" s="3"/>
      <c r="AR26" s="8"/>
      <c r="AS26" s="3"/>
      <c r="AT26" s="3"/>
      <c r="AU26" s="3"/>
      <c r="AV26" s="8">
        <v>2</v>
      </c>
      <c r="AW26" s="3">
        <f t="shared" si="7"/>
        <v>11.111111111111111</v>
      </c>
      <c r="AX26" s="8">
        <v>4</v>
      </c>
      <c r="AY26" s="3">
        <f t="shared" ref="AY26:AY28" si="25">AX26/9%</f>
        <v>44.444444444444443</v>
      </c>
      <c r="AZ26" s="8">
        <v>12</v>
      </c>
      <c r="BA26" s="3">
        <f t="shared" si="8"/>
        <v>6.9767441860465116</v>
      </c>
      <c r="BB26" s="8">
        <v>16</v>
      </c>
      <c r="BC26" s="3">
        <f t="shared" si="9"/>
        <v>4</v>
      </c>
      <c r="BD26" s="3"/>
      <c r="BE26" s="3"/>
      <c r="BF26" s="8"/>
      <c r="BG26" s="3"/>
      <c r="BH26" s="8">
        <v>2</v>
      </c>
      <c r="BI26" s="3">
        <f t="shared" ref="BI26" si="26">BH26/4%</f>
        <v>50</v>
      </c>
      <c r="BJ26" s="8">
        <v>2</v>
      </c>
      <c r="BK26" s="3">
        <f t="shared" si="16"/>
        <v>11.76470588235294</v>
      </c>
      <c r="BL26" s="8"/>
      <c r="BM26" s="3"/>
      <c r="BN26" s="8">
        <v>4</v>
      </c>
      <c r="BO26" s="3">
        <f t="shared" si="22"/>
        <v>44.444444444444443</v>
      </c>
      <c r="BP26" s="8">
        <v>3</v>
      </c>
      <c r="BQ26" s="3">
        <f t="shared" si="14"/>
        <v>18.75</v>
      </c>
      <c r="BR26" s="8">
        <v>2</v>
      </c>
      <c r="BS26" s="3">
        <f t="shared" si="23"/>
        <v>6.0606060606060606</v>
      </c>
      <c r="BT26" s="8"/>
      <c r="BU26" s="3"/>
      <c r="BW26" s="3"/>
      <c r="BX26" s="18">
        <v>1</v>
      </c>
      <c r="BY26" s="23">
        <f>(ROUND((BX26/BX29)*100,1))</f>
        <v>5.9</v>
      </c>
      <c r="BZ26" s="1">
        <v>2</v>
      </c>
      <c r="CA26" s="23">
        <f>(ROUND((BZ26/BZ29)*100,1))</f>
        <v>50</v>
      </c>
      <c r="CE26" s="59">
        <f t="shared" si="0"/>
        <v>102</v>
      </c>
      <c r="CF26" s="60">
        <f t="shared" si="2"/>
        <v>4.584269662921348</v>
      </c>
    </row>
    <row r="27" spans="1:84" x14ac:dyDescent="0.25">
      <c r="A27" s="1" t="s">
        <v>31</v>
      </c>
      <c r="B27" s="2">
        <v>2</v>
      </c>
      <c r="C27" s="3">
        <f t="shared" si="17"/>
        <v>6.0606060606060606</v>
      </c>
      <c r="D27" s="3">
        <v>1</v>
      </c>
      <c r="E27" s="3">
        <f t="shared" si="18"/>
        <v>1.7241379310344829</v>
      </c>
      <c r="G27" s="3"/>
      <c r="H27" s="8">
        <v>1</v>
      </c>
      <c r="I27" s="3">
        <f>H27/2%</f>
        <v>50</v>
      </c>
      <c r="J27" s="2">
        <v>2</v>
      </c>
      <c r="K27" s="3">
        <f t="shared" si="1"/>
        <v>0.6872852233676976</v>
      </c>
      <c r="L27" s="8">
        <v>1</v>
      </c>
      <c r="M27" s="3">
        <f t="shared" si="15"/>
        <v>0.7407407407407407</v>
      </c>
      <c r="O27" s="3"/>
      <c r="P27" s="8"/>
      <c r="Q27" s="3"/>
      <c r="R27" s="8"/>
      <c r="S27" s="3"/>
      <c r="T27" s="3"/>
      <c r="U27" s="3"/>
      <c r="V27" s="2">
        <v>1</v>
      </c>
      <c r="W27" s="3">
        <f t="shared" si="13"/>
        <v>1.1363636363636365</v>
      </c>
      <c r="X27" s="8">
        <v>1</v>
      </c>
      <c r="Y27" s="3">
        <f t="shared" si="19"/>
        <v>9.0909090909090917</v>
      </c>
      <c r="Z27" s="8"/>
      <c r="AA27" s="3"/>
      <c r="AB27" s="8"/>
      <c r="AC27" s="3"/>
      <c r="AD27" s="8"/>
      <c r="AE27" s="3"/>
      <c r="AF27" s="8"/>
      <c r="AG27" s="3"/>
      <c r="AH27" s="8"/>
      <c r="AI27" s="3"/>
      <c r="AJ27" s="8"/>
      <c r="AK27" s="3"/>
      <c r="AL27" s="8"/>
      <c r="AM27" s="3"/>
      <c r="AN27" s="8"/>
      <c r="AO27" s="3"/>
      <c r="AP27" s="3"/>
      <c r="AQ27" s="3"/>
      <c r="AR27" s="8"/>
      <c r="AS27" s="3"/>
      <c r="AT27" s="3"/>
      <c r="AU27" s="3"/>
      <c r="AV27" s="8"/>
      <c r="AW27" s="3"/>
      <c r="AX27" s="8"/>
      <c r="AY27" s="3"/>
      <c r="AZ27" s="8">
        <v>5</v>
      </c>
      <c r="BA27" s="3">
        <f t="shared" si="8"/>
        <v>2.9069767441860463</v>
      </c>
      <c r="BB27" s="8"/>
      <c r="BC27" s="3"/>
      <c r="BD27" s="3"/>
      <c r="BE27" s="3"/>
      <c r="BF27" s="8"/>
      <c r="BG27" s="3"/>
      <c r="BH27" s="3"/>
      <c r="BI27" s="3"/>
      <c r="BJ27" s="8"/>
      <c r="BK27" s="3"/>
      <c r="BL27" s="8"/>
      <c r="BM27" s="3"/>
      <c r="BN27" s="8"/>
      <c r="BO27" s="3"/>
      <c r="BP27" s="8">
        <v>2</v>
      </c>
      <c r="BQ27" s="3">
        <f t="shared" si="14"/>
        <v>12.5</v>
      </c>
      <c r="BR27" s="8"/>
      <c r="BS27" s="3"/>
      <c r="BT27" s="8"/>
      <c r="BU27" s="3"/>
      <c r="BW27" s="3"/>
      <c r="CE27" s="59">
        <f t="shared" si="0"/>
        <v>16</v>
      </c>
      <c r="CF27" s="60">
        <f t="shared" si="2"/>
        <v>0.7191011235955056</v>
      </c>
    </row>
    <row r="28" spans="1:84" x14ac:dyDescent="0.25">
      <c r="A28" s="1" t="s">
        <v>32</v>
      </c>
      <c r="B28" s="2">
        <v>17</v>
      </c>
      <c r="C28" s="3">
        <f t="shared" si="17"/>
        <v>51.515151515151516</v>
      </c>
      <c r="D28" s="3">
        <v>35</v>
      </c>
      <c r="E28" s="3">
        <f t="shared" si="18"/>
        <v>60.344827586206904</v>
      </c>
      <c r="F28" s="2">
        <v>183</v>
      </c>
      <c r="G28" s="3">
        <f t="shared" si="3"/>
        <v>79.220779220779221</v>
      </c>
      <c r="H28" s="3"/>
      <c r="I28" s="3"/>
      <c r="J28" s="2">
        <v>202</v>
      </c>
      <c r="K28" s="3">
        <f t="shared" si="1"/>
        <v>69.415807560137452</v>
      </c>
      <c r="L28" s="8">
        <v>100</v>
      </c>
      <c r="M28" s="3">
        <f t="shared" si="15"/>
        <v>74.074074074074076</v>
      </c>
      <c r="N28" s="2">
        <v>91</v>
      </c>
      <c r="O28" s="3">
        <f t="shared" si="5"/>
        <v>79.824561403508781</v>
      </c>
      <c r="P28" s="8">
        <v>20</v>
      </c>
      <c r="Q28" s="3">
        <f t="shared" si="12"/>
        <v>62.5</v>
      </c>
      <c r="R28" s="8">
        <v>90</v>
      </c>
      <c r="S28" s="3">
        <f t="shared" si="6"/>
        <v>82.568807339449535</v>
      </c>
      <c r="T28" s="8">
        <v>2</v>
      </c>
      <c r="U28" s="3">
        <f>T28/2%</f>
        <v>100</v>
      </c>
      <c r="V28" s="2">
        <v>70</v>
      </c>
      <c r="W28" s="3">
        <f t="shared" si="13"/>
        <v>79.545454545454547</v>
      </c>
      <c r="X28" s="8">
        <v>3</v>
      </c>
      <c r="Y28" s="3">
        <f t="shared" si="19"/>
        <v>27.272727272727273</v>
      </c>
      <c r="Z28" s="8"/>
      <c r="AA28" s="3"/>
      <c r="AB28" s="8">
        <v>5</v>
      </c>
      <c r="AC28" s="3">
        <f t="shared" si="20"/>
        <v>38.46153846153846</v>
      </c>
      <c r="AD28" s="8">
        <v>23</v>
      </c>
      <c r="AE28" s="3">
        <f t="shared" si="11"/>
        <v>34.328358208955223</v>
      </c>
      <c r="AF28" s="8">
        <v>40</v>
      </c>
      <c r="AG28" s="3">
        <f>AF28/44%</f>
        <v>90.909090909090907</v>
      </c>
      <c r="AH28" s="8">
        <v>5</v>
      </c>
      <c r="AI28" s="3">
        <f>AH28/20%</f>
        <v>25</v>
      </c>
      <c r="AJ28" s="8">
        <v>50</v>
      </c>
      <c r="AK28" s="3">
        <f t="shared" si="4"/>
        <v>87.719298245614041</v>
      </c>
      <c r="AL28" s="8">
        <v>5</v>
      </c>
      <c r="AM28" s="3">
        <f>AL28/19%</f>
        <v>26.315789473684209</v>
      </c>
      <c r="AN28" s="8">
        <v>33</v>
      </c>
      <c r="AO28" s="3">
        <f>AN28/51%</f>
        <v>64.705882352941174</v>
      </c>
      <c r="AP28" s="8">
        <v>3</v>
      </c>
      <c r="AQ28" s="3">
        <f>AP28/3%</f>
        <v>100</v>
      </c>
      <c r="AR28" s="8">
        <v>4</v>
      </c>
      <c r="AS28" s="3">
        <f t="shared" ref="AS28" si="27">AR28/5%</f>
        <v>80</v>
      </c>
      <c r="AT28" s="3"/>
      <c r="AU28" s="3"/>
      <c r="AV28" s="8">
        <v>3</v>
      </c>
      <c r="AW28" s="3">
        <f t="shared" si="7"/>
        <v>16.666666666666668</v>
      </c>
      <c r="AX28" s="8">
        <v>4</v>
      </c>
      <c r="AY28" s="3">
        <f t="shared" si="25"/>
        <v>44.444444444444443</v>
      </c>
      <c r="AZ28" s="8">
        <v>91</v>
      </c>
      <c r="BA28" s="3">
        <f t="shared" si="8"/>
        <v>52.906976744186046</v>
      </c>
      <c r="BB28" s="8">
        <v>200</v>
      </c>
      <c r="BC28" s="3">
        <f t="shared" si="9"/>
        <v>50</v>
      </c>
      <c r="BD28" s="8">
        <v>1</v>
      </c>
      <c r="BE28" s="3">
        <f>BD28/1%</f>
        <v>100</v>
      </c>
      <c r="BF28" s="8">
        <v>70</v>
      </c>
      <c r="BG28" s="3">
        <f t="shared" si="10"/>
        <v>54.6875</v>
      </c>
      <c r="BH28" s="3"/>
      <c r="BI28" s="3"/>
      <c r="BJ28" s="8">
        <v>6</v>
      </c>
      <c r="BK28" s="3">
        <f t="shared" si="16"/>
        <v>35.294117647058819</v>
      </c>
      <c r="BL28" s="8">
        <v>14</v>
      </c>
      <c r="BM28" s="3">
        <f t="shared" si="21"/>
        <v>82.35294117647058</v>
      </c>
      <c r="BN28" s="8">
        <v>2</v>
      </c>
      <c r="BO28" s="3">
        <f t="shared" si="22"/>
        <v>22.222222222222221</v>
      </c>
      <c r="BP28" s="8">
        <v>4</v>
      </c>
      <c r="BQ28" s="3">
        <f t="shared" si="14"/>
        <v>25</v>
      </c>
      <c r="BR28" s="8">
        <v>11</v>
      </c>
      <c r="BS28" s="3">
        <f t="shared" si="23"/>
        <v>33.333333333333329</v>
      </c>
      <c r="BT28" s="8">
        <v>9</v>
      </c>
      <c r="BU28" s="3">
        <f t="shared" si="24"/>
        <v>81.818181818181813</v>
      </c>
      <c r="BW28" s="3"/>
      <c r="BX28" s="18">
        <v>8</v>
      </c>
      <c r="BY28" s="23">
        <f>(ROUND((BX28/BX29)*100,1))</f>
        <v>47.1</v>
      </c>
      <c r="BZ28" s="1">
        <v>1</v>
      </c>
      <c r="CA28" s="23">
        <f>(ROUND((BZ28/BZ29)*100,1))</f>
        <v>25</v>
      </c>
      <c r="CB28" s="1">
        <v>41</v>
      </c>
      <c r="CC28" s="23">
        <f>(ROUND((CB28/CB29)*100,1))</f>
        <v>91.1</v>
      </c>
      <c r="CE28" s="59">
        <f t="shared" si="0"/>
        <v>1396</v>
      </c>
      <c r="CF28" s="60">
        <f t="shared" si="2"/>
        <v>62.741573033707866</v>
      </c>
    </row>
    <row r="29" spans="1:84" s="4" customFormat="1" ht="14.25" x14ac:dyDescent="0.2">
      <c r="A29" s="4" t="s">
        <v>33</v>
      </c>
      <c r="B29" s="5">
        <f t="shared" ref="B29:AG29" si="28">SUM(B1:B28)</f>
        <v>33</v>
      </c>
      <c r="C29" s="5">
        <f t="shared" si="28"/>
        <v>100</v>
      </c>
      <c r="D29" s="5">
        <f t="shared" si="28"/>
        <v>58</v>
      </c>
      <c r="E29" s="5">
        <f t="shared" si="28"/>
        <v>100</v>
      </c>
      <c r="F29" s="5">
        <f t="shared" si="28"/>
        <v>231</v>
      </c>
      <c r="G29" s="5">
        <f t="shared" si="28"/>
        <v>100</v>
      </c>
      <c r="H29" s="5">
        <f t="shared" si="28"/>
        <v>2</v>
      </c>
      <c r="I29" s="5">
        <f t="shared" si="28"/>
        <v>100</v>
      </c>
      <c r="J29" s="5">
        <f t="shared" si="28"/>
        <v>291</v>
      </c>
      <c r="K29" s="5">
        <f t="shared" si="28"/>
        <v>99.999999999999986</v>
      </c>
      <c r="L29" s="5">
        <f t="shared" si="28"/>
        <v>135</v>
      </c>
      <c r="M29" s="5">
        <f t="shared" si="28"/>
        <v>100</v>
      </c>
      <c r="N29" s="5">
        <f t="shared" si="28"/>
        <v>114</v>
      </c>
      <c r="O29" s="5">
        <f t="shared" si="28"/>
        <v>100.00000000000001</v>
      </c>
      <c r="P29" s="5">
        <f t="shared" si="28"/>
        <v>32</v>
      </c>
      <c r="Q29" s="5">
        <f t="shared" si="28"/>
        <v>100</v>
      </c>
      <c r="R29" s="5">
        <f t="shared" si="28"/>
        <v>109</v>
      </c>
      <c r="S29" s="5">
        <f t="shared" si="28"/>
        <v>100</v>
      </c>
      <c r="T29" s="5">
        <f t="shared" si="28"/>
        <v>2</v>
      </c>
      <c r="U29" s="5">
        <f t="shared" si="28"/>
        <v>100</v>
      </c>
      <c r="V29" s="5">
        <f t="shared" si="28"/>
        <v>88</v>
      </c>
      <c r="W29" s="5">
        <f t="shared" si="28"/>
        <v>100</v>
      </c>
      <c r="X29" s="5">
        <f t="shared" si="28"/>
        <v>11</v>
      </c>
      <c r="Y29" s="5">
        <f t="shared" si="28"/>
        <v>100</v>
      </c>
      <c r="Z29" s="5">
        <f t="shared" si="28"/>
        <v>2</v>
      </c>
      <c r="AA29" s="5">
        <f t="shared" si="28"/>
        <v>100</v>
      </c>
      <c r="AB29" s="5">
        <f t="shared" si="28"/>
        <v>13</v>
      </c>
      <c r="AC29" s="5">
        <f t="shared" si="28"/>
        <v>100</v>
      </c>
      <c r="AD29" s="5">
        <f t="shared" si="28"/>
        <v>67</v>
      </c>
      <c r="AE29" s="5">
        <f t="shared" si="28"/>
        <v>100</v>
      </c>
      <c r="AF29" s="33">
        <f t="shared" si="28"/>
        <v>44</v>
      </c>
      <c r="AG29" s="33">
        <f t="shared" si="28"/>
        <v>100</v>
      </c>
      <c r="AH29" s="33">
        <f t="shared" ref="AH29:BM29" si="29">SUM(AH1:AH28)</f>
        <v>20</v>
      </c>
      <c r="AI29" s="33">
        <f t="shared" si="29"/>
        <v>100</v>
      </c>
      <c r="AJ29" s="5">
        <f t="shared" si="29"/>
        <v>57</v>
      </c>
      <c r="AK29" s="5">
        <f t="shared" si="29"/>
        <v>100</v>
      </c>
      <c r="AL29" s="33">
        <f t="shared" si="29"/>
        <v>19</v>
      </c>
      <c r="AM29" s="33">
        <f t="shared" si="29"/>
        <v>99.999999999999986</v>
      </c>
      <c r="AN29" s="33">
        <f t="shared" si="29"/>
        <v>51</v>
      </c>
      <c r="AO29" s="33">
        <f t="shared" si="29"/>
        <v>100</v>
      </c>
      <c r="AP29" s="5">
        <f t="shared" si="29"/>
        <v>3</v>
      </c>
      <c r="AQ29" s="5">
        <f t="shared" si="29"/>
        <v>100</v>
      </c>
      <c r="AR29" s="5">
        <f t="shared" si="29"/>
        <v>5</v>
      </c>
      <c r="AS29" s="5">
        <f t="shared" si="29"/>
        <v>100</v>
      </c>
      <c r="AT29" s="5">
        <f t="shared" si="29"/>
        <v>1</v>
      </c>
      <c r="AU29" s="5">
        <f t="shared" si="29"/>
        <v>100</v>
      </c>
      <c r="AV29" s="5">
        <f t="shared" si="29"/>
        <v>18</v>
      </c>
      <c r="AW29" s="5">
        <f t="shared" si="29"/>
        <v>100</v>
      </c>
      <c r="AX29" s="5">
        <f t="shared" si="29"/>
        <v>9</v>
      </c>
      <c r="AY29" s="5">
        <f t="shared" si="29"/>
        <v>100</v>
      </c>
      <c r="AZ29" s="5">
        <f t="shared" si="29"/>
        <v>172</v>
      </c>
      <c r="BA29" s="5">
        <f t="shared" si="29"/>
        <v>100</v>
      </c>
      <c r="BB29" s="5">
        <f t="shared" si="29"/>
        <v>400</v>
      </c>
      <c r="BC29" s="5">
        <f t="shared" si="29"/>
        <v>100</v>
      </c>
      <c r="BD29" s="5">
        <f t="shared" si="29"/>
        <v>1</v>
      </c>
      <c r="BE29" s="5">
        <f t="shared" si="29"/>
        <v>100</v>
      </c>
      <c r="BF29" s="5">
        <f t="shared" si="29"/>
        <v>128</v>
      </c>
      <c r="BG29" s="5">
        <f t="shared" si="29"/>
        <v>100</v>
      </c>
      <c r="BH29" s="5">
        <f t="shared" si="29"/>
        <v>4</v>
      </c>
      <c r="BI29" s="5">
        <f t="shared" si="29"/>
        <v>100</v>
      </c>
      <c r="BJ29" s="5">
        <f t="shared" si="29"/>
        <v>17</v>
      </c>
      <c r="BK29" s="5">
        <f t="shared" si="29"/>
        <v>100</v>
      </c>
      <c r="BL29" s="5">
        <f t="shared" si="29"/>
        <v>17</v>
      </c>
      <c r="BM29" s="5">
        <f t="shared" si="29"/>
        <v>99.999999999999986</v>
      </c>
      <c r="BN29" s="5">
        <f t="shared" ref="BN29:CC29" si="30">SUM(BN1:BN28)</f>
        <v>9</v>
      </c>
      <c r="BO29" s="5">
        <f t="shared" si="30"/>
        <v>100</v>
      </c>
      <c r="BP29" s="5">
        <f t="shared" si="30"/>
        <v>16</v>
      </c>
      <c r="BQ29" s="5">
        <f t="shared" si="30"/>
        <v>100</v>
      </c>
      <c r="BR29" s="5">
        <f t="shared" si="30"/>
        <v>33</v>
      </c>
      <c r="BS29" s="5">
        <f t="shared" si="30"/>
        <v>100</v>
      </c>
      <c r="BT29" s="5">
        <f t="shared" si="30"/>
        <v>11</v>
      </c>
      <c r="BU29" s="5">
        <f t="shared" si="30"/>
        <v>100</v>
      </c>
      <c r="BV29" s="20">
        <f t="shared" si="30"/>
        <v>2</v>
      </c>
      <c r="BW29" s="5">
        <f t="shared" si="30"/>
        <v>100</v>
      </c>
      <c r="BX29" s="58">
        <f t="shared" si="30"/>
        <v>17</v>
      </c>
      <c r="BY29" s="57">
        <f t="shared" si="30"/>
        <v>100.1</v>
      </c>
      <c r="BZ29" s="58">
        <f t="shared" si="30"/>
        <v>4</v>
      </c>
      <c r="CA29" s="57">
        <f t="shared" si="30"/>
        <v>100</v>
      </c>
      <c r="CB29" s="58">
        <f t="shared" si="30"/>
        <v>45</v>
      </c>
      <c r="CC29" s="57">
        <f t="shared" si="30"/>
        <v>100</v>
      </c>
      <c r="CE29" s="51">
        <f>SUM(CE1:CE28)</f>
        <v>2225</v>
      </c>
      <c r="CF29" s="51">
        <f>SUM(CF1:CF28)</f>
        <v>100</v>
      </c>
    </row>
    <row r="30" spans="1:84" x14ac:dyDescent="0.25">
      <c r="BY30" s="51"/>
    </row>
    <row r="33" spans="1:75" x14ac:dyDescent="0.25">
      <c r="A33" s="9"/>
    </row>
    <row r="36" spans="1:75" x14ac:dyDescent="0.25">
      <c r="B36" s="1"/>
      <c r="C36" s="1"/>
      <c r="D36" s="1" t="s">
        <v>136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23"/>
      <c r="BW36" s="1"/>
    </row>
    <row r="37" spans="1:75" x14ac:dyDescent="0.25">
      <c r="C37" s="1"/>
      <c r="D37" s="1" t="s">
        <v>1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23"/>
      <c r="BW37" s="1"/>
    </row>
    <row r="38" spans="1:75" x14ac:dyDescent="0.25">
      <c r="A38" s="67" t="s">
        <v>11</v>
      </c>
      <c r="C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23"/>
      <c r="BW38" s="1"/>
    </row>
    <row r="39" spans="1:75" x14ac:dyDescent="0.25">
      <c r="A39" s="67"/>
      <c r="B39" s="2" t="s">
        <v>0</v>
      </c>
      <c r="C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23"/>
      <c r="BW39" s="1"/>
    </row>
    <row r="40" spans="1:75" x14ac:dyDescent="0.25">
      <c r="A40" s="1" t="s">
        <v>90</v>
      </c>
      <c r="B40" s="2">
        <v>37</v>
      </c>
      <c r="C40" s="1">
        <f>B40/710%</f>
        <v>5.211267605633803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23"/>
      <c r="BW40" s="1"/>
    </row>
    <row r="41" spans="1:75" x14ac:dyDescent="0.25">
      <c r="A41" s="7" t="s">
        <v>130</v>
      </c>
      <c r="B41" s="2">
        <v>1</v>
      </c>
      <c r="C41" s="1">
        <f t="shared" ref="C41:C52" si="31">B41/710%</f>
        <v>0.14084507042253522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23"/>
      <c r="BW41" s="1"/>
    </row>
    <row r="42" spans="1:75" x14ac:dyDescent="0.25">
      <c r="A42" s="1" t="s">
        <v>86</v>
      </c>
      <c r="B42" s="2">
        <v>4</v>
      </c>
      <c r="C42" s="1">
        <f t="shared" si="31"/>
        <v>0.56338028169014087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23"/>
      <c r="BW42" s="1"/>
    </row>
    <row r="43" spans="1:75" x14ac:dyDescent="0.25">
      <c r="A43" s="1" t="s">
        <v>18</v>
      </c>
      <c r="B43" s="2">
        <v>63</v>
      </c>
      <c r="C43" s="1">
        <f t="shared" si="31"/>
        <v>8.873239436619718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23"/>
      <c r="BW43" s="1"/>
    </row>
    <row r="44" spans="1:75" x14ac:dyDescent="0.25">
      <c r="A44" s="1" t="s">
        <v>22</v>
      </c>
      <c r="B44" s="2">
        <v>40</v>
      </c>
      <c r="C44" s="1">
        <f t="shared" si="31"/>
        <v>5.6338028169014089</v>
      </c>
      <c r="E44" s="1"/>
    </row>
    <row r="45" spans="1:75" x14ac:dyDescent="0.25">
      <c r="A45" s="7" t="s">
        <v>133</v>
      </c>
      <c r="B45" s="2">
        <v>2</v>
      </c>
      <c r="C45" s="1">
        <f t="shared" si="31"/>
        <v>0.28169014084507044</v>
      </c>
      <c r="E45" s="1"/>
    </row>
    <row r="46" spans="1:75" x14ac:dyDescent="0.25">
      <c r="A46" s="7" t="s">
        <v>24</v>
      </c>
      <c r="B46" s="2">
        <v>36</v>
      </c>
      <c r="C46" s="1">
        <f t="shared" si="31"/>
        <v>5.070422535211268</v>
      </c>
      <c r="E46" s="1"/>
    </row>
    <row r="47" spans="1:75" x14ac:dyDescent="0.25">
      <c r="A47" s="7" t="s">
        <v>134</v>
      </c>
      <c r="B47" s="2">
        <v>1</v>
      </c>
      <c r="C47" s="1">
        <f t="shared" si="31"/>
        <v>0.14084507042253522</v>
      </c>
    </row>
    <row r="48" spans="1:75" x14ac:dyDescent="0.25">
      <c r="A48" s="7" t="s">
        <v>25</v>
      </c>
      <c r="B48" s="2">
        <v>5</v>
      </c>
      <c r="C48" s="1">
        <f t="shared" si="31"/>
        <v>0.70422535211267612</v>
      </c>
    </row>
    <row r="49" spans="1:3" x14ac:dyDescent="0.25">
      <c r="A49" s="7" t="s">
        <v>26</v>
      </c>
      <c r="B49" s="2">
        <v>284</v>
      </c>
      <c r="C49" s="1">
        <f t="shared" si="31"/>
        <v>40</v>
      </c>
    </row>
    <row r="50" spans="1:3" x14ac:dyDescent="0.25">
      <c r="A50" s="7" t="s">
        <v>135</v>
      </c>
      <c r="B50" s="2">
        <v>1</v>
      </c>
      <c r="C50" s="1">
        <f t="shared" si="31"/>
        <v>0.14084507042253522</v>
      </c>
    </row>
    <row r="51" spans="1:3" x14ac:dyDescent="0.25">
      <c r="A51" s="7" t="s">
        <v>28</v>
      </c>
      <c r="B51" s="2">
        <v>187</v>
      </c>
      <c r="C51" s="1">
        <f t="shared" si="31"/>
        <v>26.338028169014084</v>
      </c>
    </row>
    <row r="52" spans="1:3" x14ac:dyDescent="0.25">
      <c r="A52" s="7" t="s">
        <v>29</v>
      </c>
      <c r="B52" s="2">
        <v>49</v>
      </c>
      <c r="C52" s="1">
        <f t="shared" si="31"/>
        <v>6.9014084507042259</v>
      </c>
    </row>
    <row r="53" spans="1:3" x14ac:dyDescent="0.25">
      <c r="B53" s="2">
        <f>SUM(B40:B52)</f>
        <v>710</v>
      </c>
    </row>
    <row r="58" spans="1:3" x14ac:dyDescent="0.25">
      <c r="A58" s="7"/>
    </row>
    <row r="59" spans="1:3" x14ac:dyDescent="0.25">
      <c r="A59" s="7"/>
    </row>
    <row r="60" spans="1:3" x14ac:dyDescent="0.25">
      <c r="A60" s="7"/>
    </row>
    <row r="61" spans="1:3" x14ac:dyDescent="0.25">
      <c r="A61" s="7"/>
    </row>
    <row r="66" spans="1:4" x14ac:dyDescent="0.25">
      <c r="A66" s="1" t="s">
        <v>26</v>
      </c>
      <c r="B66" s="1">
        <v>284</v>
      </c>
      <c r="C66" s="1"/>
      <c r="D66" s="1">
        <f>B66/520%</f>
        <v>54.615384615384613</v>
      </c>
    </row>
    <row r="67" spans="1:4" x14ac:dyDescent="0.25">
      <c r="A67" s="1" t="s">
        <v>28</v>
      </c>
      <c r="B67" s="1">
        <v>187</v>
      </c>
      <c r="C67" s="1"/>
      <c r="D67" s="1">
        <f t="shared" ref="D67:D68" si="32">B67/520%</f>
        <v>35.96153846153846</v>
      </c>
    </row>
    <row r="68" spans="1:4" x14ac:dyDescent="0.25">
      <c r="A68" s="1" t="s">
        <v>29</v>
      </c>
      <c r="B68" s="1">
        <v>49</v>
      </c>
      <c r="C68" s="1"/>
      <c r="D68" s="1">
        <f t="shared" si="32"/>
        <v>9.4230769230769234</v>
      </c>
    </row>
    <row r="69" spans="1:4" x14ac:dyDescent="0.25">
      <c r="A69" s="1" t="s">
        <v>33</v>
      </c>
      <c r="B69" s="1">
        <f>SUM(B66:B68)</f>
        <v>520</v>
      </c>
      <c r="C69" s="1"/>
      <c r="D69" s="1">
        <f>SUM(D66:D68)</f>
        <v>99.999999999999986</v>
      </c>
    </row>
  </sheetData>
  <dataConsolidate/>
  <mergeCells count="39">
    <mergeCell ref="V1:W1"/>
    <mergeCell ref="X1:Y1"/>
    <mergeCell ref="AF1:AG1"/>
    <mergeCell ref="AH1:AI1"/>
    <mergeCell ref="BV1:BW1"/>
    <mergeCell ref="AB1:AC1"/>
    <mergeCell ref="AD1:AE1"/>
    <mergeCell ref="CE1:CF1"/>
    <mergeCell ref="A38:A39"/>
    <mergeCell ref="BB1:BC1"/>
    <mergeCell ref="BD1:BE1"/>
    <mergeCell ref="BN1:BO1"/>
    <mergeCell ref="BP1:BQ1"/>
    <mergeCell ref="BR1:BS1"/>
    <mergeCell ref="BT1:BU1"/>
    <mergeCell ref="AP1:AQ1"/>
    <mergeCell ref="AR1:AS1"/>
    <mergeCell ref="AT1:AU1"/>
    <mergeCell ref="AV1:AW1"/>
    <mergeCell ref="AX1:AY1"/>
    <mergeCell ref="A1:A2"/>
    <mergeCell ref="B1:C1"/>
    <mergeCell ref="D1:E1"/>
    <mergeCell ref="F1:G1"/>
    <mergeCell ref="H1:I1"/>
    <mergeCell ref="BZ1:CA1"/>
    <mergeCell ref="CB1:CC1"/>
    <mergeCell ref="BX1:BY1"/>
    <mergeCell ref="J1:K1"/>
    <mergeCell ref="L1:M1"/>
    <mergeCell ref="N1:O1"/>
    <mergeCell ref="P1:Q1"/>
    <mergeCell ref="R1:S1"/>
    <mergeCell ref="AL1:AM1"/>
    <mergeCell ref="AN1:AO1"/>
    <mergeCell ref="AZ1:BA1"/>
    <mergeCell ref="AJ1:AK1"/>
    <mergeCell ref="T1:U1"/>
    <mergeCell ref="Z1:AA1"/>
  </mergeCells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1"/>
  <sheetViews>
    <sheetView zoomScale="70" zoomScaleNormal="70" workbookViewId="0">
      <pane xSplit="1" topLeftCell="Y1" activePane="topRight" state="frozen"/>
      <selection pane="topRight" activeCell="AQ21" sqref="AQ21"/>
    </sheetView>
  </sheetViews>
  <sheetFormatPr defaultRowHeight="15" x14ac:dyDescent="0.25"/>
  <cols>
    <col min="1" max="1" width="24.42578125" style="23" bestFit="1" customWidth="1"/>
    <col min="2" max="10" width="12.85546875" style="21" customWidth="1"/>
    <col min="11" max="12" width="12.85546875" style="54" customWidth="1"/>
    <col min="13" max="14" width="12.85546875" style="21" customWidth="1"/>
    <col min="15" max="38" width="12.85546875" style="23" customWidth="1"/>
    <col min="39" max="39" width="12.85546875" style="43" customWidth="1"/>
    <col min="40" max="40" width="9.140625" style="43"/>
    <col min="41" max="16384" width="9.140625" style="23"/>
  </cols>
  <sheetData>
    <row r="1" spans="1:43" s="43" customFormat="1" ht="28.5" x14ac:dyDescent="0.2">
      <c r="A1" s="73" t="s">
        <v>11</v>
      </c>
      <c r="B1" s="55" t="s">
        <v>137</v>
      </c>
      <c r="C1" s="47" t="s">
        <v>159</v>
      </c>
      <c r="D1" s="47" t="s">
        <v>96</v>
      </c>
      <c r="E1" s="47" t="s">
        <v>97</v>
      </c>
      <c r="F1" s="47" t="s">
        <v>98</v>
      </c>
      <c r="G1" s="47" t="s">
        <v>99</v>
      </c>
      <c r="H1" s="47" t="s">
        <v>100</v>
      </c>
      <c r="I1" s="47" t="s">
        <v>101</v>
      </c>
      <c r="J1" s="47" t="s">
        <v>102</v>
      </c>
      <c r="K1" s="47" t="s">
        <v>104</v>
      </c>
      <c r="L1" s="47" t="s">
        <v>105</v>
      </c>
      <c r="M1" s="47" t="s">
        <v>106</v>
      </c>
      <c r="N1" s="47" t="s">
        <v>107</v>
      </c>
      <c r="O1" s="47" t="s">
        <v>108</v>
      </c>
      <c r="P1" s="47" t="s">
        <v>109</v>
      </c>
      <c r="Q1" s="47" t="s">
        <v>157</v>
      </c>
      <c r="R1" s="47" t="s">
        <v>154</v>
      </c>
      <c r="S1" s="47" t="s">
        <v>110</v>
      </c>
      <c r="T1" s="47" t="s">
        <v>155</v>
      </c>
      <c r="U1" s="47" t="s">
        <v>158</v>
      </c>
      <c r="V1" s="47" t="s">
        <v>111</v>
      </c>
      <c r="W1" s="47" t="s">
        <v>112</v>
      </c>
      <c r="X1" s="47" t="s">
        <v>113</v>
      </c>
      <c r="Y1" s="47" t="s">
        <v>114</v>
      </c>
      <c r="Z1" s="47" t="s">
        <v>115</v>
      </c>
      <c r="AA1" s="47" t="s">
        <v>116</v>
      </c>
      <c r="AB1" s="47" t="s">
        <v>117</v>
      </c>
      <c r="AC1" s="47" t="s">
        <v>118</v>
      </c>
      <c r="AD1" s="47" t="s">
        <v>119</v>
      </c>
      <c r="AE1" s="47" t="s">
        <v>120</v>
      </c>
      <c r="AF1" s="47" t="s">
        <v>121</v>
      </c>
      <c r="AG1" s="47" t="s">
        <v>122</v>
      </c>
      <c r="AH1" s="47" t="s">
        <v>123</v>
      </c>
      <c r="AI1" s="47" t="s">
        <v>124</v>
      </c>
      <c r="AJ1" s="47" t="s">
        <v>125</v>
      </c>
      <c r="AK1" s="47" t="s">
        <v>126</v>
      </c>
      <c r="AL1" s="47" t="s">
        <v>156</v>
      </c>
      <c r="AM1" s="64" t="s">
        <v>139</v>
      </c>
      <c r="AN1" s="64" t="s">
        <v>140</v>
      </c>
      <c r="AO1" s="64" t="s">
        <v>141</v>
      </c>
      <c r="AP1" s="74" t="s">
        <v>148</v>
      </c>
      <c r="AQ1" s="75"/>
    </row>
    <row r="2" spans="1:43" s="43" customFormat="1" ht="14.25" x14ac:dyDescent="0.2">
      <c r="A2" s="73"/>
      <c r="B2" s="54" t="s">
        <v>34</v>
      </c>
      <c r="C2" s="54" t="s">
        <v>34</v>
      </c>
      <c r="D2" s="54" t="s">
        <v>34</v>
      </c>
      <c r="E2" s="54" t="s">
        <v>34</v>
      </c>
      <c r="F2" s="54" t="s">
        <v>34</v>
      </c>
      <c r="G2" s="54" t="s">
        <v>34</v>
      </c>
      <c r="H2" s="54" t="s">
        <v>34</v>
      </c>
      <c r="I2" s="54" t="s">
        <v>34</v>
      </c>
      <c r="J2" s="54" t="s">
        <v>34</v>
      </c>
      <c r="K2" s="54" t="s">
        <v>34</v>
      </c>
      <c r="L2" s="54" t="s">
        <v>34</v>
      </c>
      <c r="M2" s="54" t="s">
        <v>34</v>
      </c>
      <c r="N2" s="54" t="s">
        <v>34</v>
      </c>
      <c r="O2" s="54" t="s">
        <v>34</v>
      </c>
      <c r="P2" s="54" t="s">
        <v>34</v>
      </c>
      <c r="Q2" s="54" t="s">
        <v>34</v>
      </c>
      <c r="R2" s="54" t="s">
        <v>34</v>
      </c>
      <c r="S2" s="54" t="s">
        <v>34</v>
      </c>
      <c r="T2" s="54" t="s">
        <v>34</v>
      </c>
      <c r="U2" s="54" t="s">
        <v>34</v>
      </c>
      <c r="V2" s="54" t="s">
        <v>34</v>
      </c>
      <c r="W2" s="54" t="s">
        <v>34</v>
      </c>
      <c r="X2" s="54" t="s">
        <v>34</v>
      </c>
      <c r="Y2" s="54" t="s">
        <v>34</v>
      </c>
      <c r="Z2" s="54" t="s">
        <v>34</v>
      </c>
      <c r="AA2" s="54" t="s">
        <v>34</v>
      </c>
      <c r="AB2" s="54" t="s">
        <v>34</v>
      </c>
      <c r="AC2" s="54" t="s">
        <v>34</v>
      </c>
      <c r="AD2" s="54" t="s">
        <v>34</v>
      </c>
      <c r="AE2" s="54" t="s">
        <v>34</v>
      </c>
      <c r="AF2" s="54" t="s">
        <v>34</v>
      </c>
      <c r="AG2" s="54" t="s">
        <v>34</v>
      </c>
      <c r="AH2" s="54" t="s">
        <v>34</v>
      </c>
      <c r="AI2" s="54" t="s">
        <v>34</v>
      </c>
      <c r="AJ2" s="54" t="s">
        <v>34</v>
      </c>
      <c r="AK2" s="54" t="s">
        <v>34</v>
      </c>
      <c r="AL2" s="54" t="s">
        <v>34</v>
      </c>
      <c r="AM2" s="58" t="s">
        <v>34</v>
      </c>
      <c r="AN2" s="58" t="s">
        <v>34</v>
      </c>
      <c r="AO2" s="58" t="s">
        <v>34</v>
      </c>
      <c r="AP2" s="54" t="s">
        <v>34</v>
      </c>
      <c r="AQ2" s="54" t="s">
        <v>1</v>
      </c>
    </row>
    <row r="3" spans="1:43" x14ac:dyDescent="0.25">
      <c r="A3" s="37" t="s">
        <v>24</v>
      </c>
      <c r="C3" s="39"/>
      <c r="D3" s="21">
        <v>1</v>
      </c>
      <c r="F3" s="21">
        <v>1</v>
      </c>
      <c r="G3" s="39"/>
      <c r="H3" s="21">
        <v>1</v>
      </c>
      <c r="I3" s="39"/>
      <c r="J3" s="39">
        <v>1</v>
      </c>
      <c r="K3" s="38"/>
      <c r="L3" s="21"/>
      <c r="M3" s="39">
        <v>1</v>
      </c>
      <c r="N3" s="39"/>
      <c r="O3" s="39"/>
      <c r="P3" s="39">
        <v>1</v>
      </c>
      <c r="Q3" s="39">
        <v>1</v>
      </c>
      <c r="R3" s="39"/>
      <c r="S3" s="39"/>
      <c r="T3" s="39"/>
      <c r="U3" s="39"/>
      <c r="V3" s="38"/>
      <c r="W3" s="38"/>
      <c r="X3" s="38"/>
      <c r="Y3" s="39"/>
      <c r="Z3" s="38"/>
      <c r="AA3" s="39">
        <v>1</v>
      </c>
      <c r="AB3" s="39">
        <v>1</v>
      </c>
      <c r="AC3" s="38"/>
      <c r="AD3" s="39"/>
      <c r="AE3" s="38"/>
      <c r="AF3" s="39"/>
      <c r="AG3" s="39">
        <v>1</v>
      </c>
      <c r="AH3" s="38"/>
      <c r="AI3" s="39">
        <v>1</v>
      </c>
      <c r="AJ3" s="39"/>
      <c r="AK3" s="39"/>
      <c r="AL3" s="21"/>
      <c r="AP3" s="54">
        <f t="shared" ref="AP3:AP10" si="0">SUM(B3:AO3)</f>
        <v>11</v>
      </c>
      <c r="AQ3" s="48">
        <f>AP3/136%</f>
        <v>8.0882352941176467</v>
      </c>
    </row>
    <row r="4" spans="1:43" x14ac:dyDescent="0.25">
      <c r="A4" s="37" t="s">
        <v>134</v>
      </c>
      <c r="B4" s="21">
        <v>1</v>
      </c>
      <c r="C4" s="39"/>
      <c r="D4" s="23"/>
      <c r="G4" s="39"/>
      <c r="I4" s="39"/>
      <c r="J4" s="39"/>
      <c r="K4" s="38"/>
      <c r="L4" s="21"/>
      <c r="M4" s="39"/>
      <c r="N4" s="39"/>
      <c r="O4" s="39"/>
      <c r="P4" s="39"/>
      <c r="Q4" s="39"/>
      <c r="R4" s="39"/>
      <c r="S4" s="39"/>
      <c r="T4" s="39"/>
      <c r="U4" s="39"/>
      <c r="V4" s="38"/>
      <c r="W4" s="38"/>
      <c r="X4" s="38"/>
      <c r="Y4" s="39"/>
      <c r="Z4" s="38"/>
      <c r="AA4" s="39"/>
      <c r="AB4" s="39"/>
      <c r="AC4" s="38"/>
      <c r="AD4" s="39"/>
      <c r="AE4" s="38"/>
      <c r="AF4" s="39"/>
      <c r="AG4" s="39"/>
      <c r="AH4" s="38"/>
      <c r="AI4" s="39"/>
      <c r="AJ4" s="39"/>
      <c r="AK4" s="39"/>
      <c r="AL4" s="21"/>
      <c r="AP4" s="58">
        <f t="shared" si="0"/>
        <v>1</v>
      </c>
      <c r="AQ4" s="48">
        <f t="shared" ref="AQ4:AQ10" si="1">AP4/136%</f>
        <v>0.73529411764705876</v>
      </c>
    </row>
    <row r="5" spans="1:43" x14ac:dyDescent="0.25">
      <c r="A5" s="37" t="s">
        <v>25</v>
      </c>
      <c r="C5" s="39"/>
      <c r="D5" s="23"/>
      <c r="G5" s="39">
        <v>1</v>
      </c>
      <c r="I5" s="39"/>
      <c r="J5" s="39"/>
      <c r="K5" s="38"/>
      <c r="L5" s="21">
        <v>1</v>
      </c>
      <c r="M5" s="39"/>
      <c r="N5" s="39"/>
      <c r="O5" s="39"/>
      <c r="P5" s="39"/>
      <c r="Q5" s="39"/>
      <c r="R5" s="39"/>
      <c r="S5" s="39"/>
      <c r="T5" s="39"/>
      <c r="U5" s="39"/>
      <c r="V5" s="38"/>
      <c r="W5" s="38"/>
      <c r="X5" s="38"/>
      <c r="Y5" s="39"/>
      <c r="Z5" s="39"/>
      <c r="AA5" s="39"/>
      <c r="AB5" s="39"/>
      <c r="AC5" s="38"/>
      <c r="AD5" s="39">
        <v>1</v>
      </c>
      <c r="AE5" s="38"/>
      <c r="AF5" s="39"/>
      <c r="AG5" s="39"/>
      <c r="AH5" s="38"/>
      <c r="AI5" s="39"/>
      <c r="AJ5" s="39"/>
      <c r="AK5" s="39"/>
      <c r="AL5" s="21"/>
      <c r="AP5" s="58">
        <f t="shared" si="0"/>
        <v>3</v>
      </c>
      <c r="AQ5" s="48">
        <f t="shared" si="1"/>
        <v>2.2058823529411762</v>
      </c>
    </row>
    <row r="6" spans="1:43" x14ac:dyDescent="0.25">
      <c r="A6" s="37" t="s">
        <v>26</v>
      </c>
      <c r="B6" s="21">
        <v>1</v>
      </c>
      <c r="C6" s="39">
        <v>5</v>
      </c>
      <c r="D6" s="21">
        <v>4</v>
      </c>
      <c r="E6" s="38"/>
      <c r="F6" s="21">
        <v>4</v>
      </c>
      <c r="G6" s="39">
        <v>2</v>
      </c>
      <c r="H6" s="21">
        <v>2</v>
      </c>
      <c r="I6" s="39">
        <v>1</v>
      </c>
      <c r="J6" s="39">
        <v>1</v>
      </c>
      <c r="K6" s="38"/>
      <c r="L6" s="21">
        <v>1</v>
      </c>
      <c r="M6" s="39">
        <v>2</v>
      </c>
      <c r="N6" s="39"/>
      <c r="O6" s="39">
        <v>1</v>
      </c>
      <c r="P6" s="39">
        <v>3</v>
      </c>
      <c r="Q6" s="39">
        <v>1</v>
      </c>
      <c r="R6" s="39">
        <v>2</v>
      </c>
      <c r="S6" s="39">
        <v>1</v>
      </c>
      <c r="T6" s="39">
        <v>1</v>
      </c>
      <c r="U6" s="39"/>
      <c r="V6" s="38"/>
      <c r="W6" s="39">
        <v>1</v>
      </c>
      <c r="X6" s="39">
        <v>1</v>
      </c>
      <c r="Y6" s="39">
        <v>2</v>
      </c>
      <c r="Z6" s="39">
        <v>1</v>
      </c>
      <c r="AA6" s="39">
        <v>5</v>
      </c>
      <c r="AB6" s="39">
        <v>5</v>
      </c>
      <c r="AC6" s="38"/>
      <c r="AD6" s="39">
        <v>4</v>
      </c>
      <c r="AE6" s="38"/>
      <c r="AF6" s="39">
        <v>2</v>
      </c>
      <c r="AG6" s="39">
        <v>1</v>
      </c>
      <c r="AH6" s="39">
        <v>2</v>
      </c>
      <c r="AI6" s="39">
        <v>1</v>
      </c>
      <c r="AJ6" s="39">
        <v>4</v>
      </c>
      <c r="AK6" s="39">
        <v>1</v>
      </c>
      <c r="AL6" s="21"/>
      <c r="AM6" s="43">
        <v>1</v>
      </c>
      <c r="AP6" s="58">
        <f t="shared" si="0"/>
        <v>63</v>
      </c>
      <c r="AQ6" s="48">
        <f t="shared" si="1"/>
        <v>46.323529411764703</v>
      </c>
    </row>
    <row r="7" spans="1:43" x14ac:dyDescent="0.25">
      <c r="A7" s="37" t="s">
        <v>28</v>
      </c>
      <c r="B7" s="21">
        <v>1</v>
      </c>
      <c r="C7" s="39">
        <v>2</v>
      </c>
      <c r="D7" s="21">
        <v>1</v>
      </c>
      <c r="E7" s="38"/>
      <c r="F7" s="21">
        <v>4</v>
      </c>
      <c r="G7" s="39">
        <v>2</v>
      </c>
      <c r="H7" s="21">
        <v>2</v>
      </c>
      <c r="I7" s="39"/>
      <c r="J7" s="39">
        <v>1</v>
      </c>
      <c r="K7" s="38"/>
      <c r="L7" s="21">
        <v>1</v>
      </c>
      <c r="M7" s="39">
        <v>1</v>
      </c>
      <c r="N7" s="39"/>
      <c r="O7" s="39">
        <v>2</v>
      </c>
      <c r="P7" s="39">
        <v>1</v>
      </c>
      <c r="Q7" s="39"/>
      <c r="R7" s="39">
        <v>2</v>
      </c>
      <c r="S7" s="39">
        <v>1</v>
      </c>
      <c r="T7" s="39">
        <v>1</v>
      </c>
      <c r="U7" s="39">
        <v>1</v>
      </c>
      <c r="V7" s="38"/>
      <c r="W7" s="39"/>
      <c r="X7" s="38"/>
      <c r="Y7" s="39">
        <v>1</v>
      </c>
      <c r="Z7" s="39"/>
      <c r="AA7" s="39">
        <v>4</v>
      </c>
      <c r="AB7" s="39">
        <v>7</v>
      </c>
      <c r="AC7" s="38"/>
      <c r="AD7" s="39">
        <v>2</v>
      </c>
      <c r="AE7" s="39">
        <v>1</v>
      </c>
      <c r="AF7" s="39">
        <v>1</v>
      </c>
      <c r="AG7" s="39"/>
      <c r="AH7" s="38"/>
      <c r="AI7" s="39">
        <v>1</v>
      </c>
      <c r="AJ7" s="39">
        <v>1</v>
      </c>
      <c r="AK7" s="39"/>
      <c r="AL7" s="21"/>
      <c r="AM7" s="43">
        <v>1</v>
      </c>
      <c r="AP7" s="58">
        <f t="shared" si="0"/>
        <v>42</v>
      </c>
      <c r="AQ7" s="48">
        <f t="shared" si="1"/>
        <v>30.882352941176467</v>
      </c>
    </row>
    <row r="8" spans="1:43" x14ac:dyDescent="0.25">
      <c r="A8" s="37" t="s">
        <v>21</v>
      </c>
      <c r="C8" s="39"/>
      <c r="E8" s="38"/>
      <c r="G8" s="39"/>
      <c r="I8" s="39"/>
      <c r="J8" s="39"/>
      <c r="K8" s="38"/>
      <c r="L8" s="21"/>
      <c r="M8" s="39"/>
      <c r="N8" s="39"/>
      <c r="O8" s="39"/>
      <c r="P8" s="39"/>
      <c r="Q8" s="39"/>
      <c r="R8" s="39"/>
      <c r="S8" s="39"/>
      <c r="T8" s="39"/>
      <c r="U8" s="39"/>
      <c r="V8" s="38"/>
      <c r="W8" s="39"/>
      <c r="X8" s="38"/>
      <c r="Y8" s="39"/>
      <c r="Z8" s="39"/>
      <c r="AA8" s="39"/>
      <c r="AB8" s="39"/>
      <c r="AC8" s="38"/>
      <c r="AD8" s="39"/>
      <c r="AE8" s="39"/>
      <c r="AF8" s="39"/>
      <c r="AG8" s="39"/>
      <c r="AH8" s="38"/>
      <c r="AI8" s="39"/>
      <c r="AJ8" s="39"/>
      <c r="AK8" s="39"/>
      <c r="AL8" s="21"/>
      <c r="AM8" s="8">
        <v>1</v>
      </c>
      <c r="AP8" s="58">
        <f t="shared" si="0"/>
        <v>1</v>
      </c>
      <c r="AQ8" s="48">
        <f t="shared" ref="AQ8" si="2">AP8/136%</f>
        <v>0.73529411764705876</v>
      </c>
    </row>
    <row r="9" spans="1:43" x14ac:dyDescent="0.25">
      <c r="A9" s="37" t="s">
        <v>165</v>
      </c>
      <c r="C9" s="39"/>
      <c r="E9" s="38"/>
      <c r="G9" s="39"/>
      <c r="I9" s="39"/>
      <c r="J9" s="39"/>
      <c r="K9" s="38"/>
      <c r="L9" s="21"/>
      <c r="M9" s="39"/>
      <c r="N9" s="39"/>
      <c r="O9" s="39"/>
      <c r="P9" s="39"/>
      <c r="Q9" s="39"/>
      <c r="R9" s="39"/>
      <c r="S9" s="39"/>
      <c r="T9" s="39"/>
      <c r="U9" s="39"/>
      <c r="V9" s="38"/>
      <c r="W9" s="39"/>
      <c r="X9" s="38"/>
      <c r="Y9" s="39"/>
      <c r="Z9" s="39"/>
      <c r="AA9" s="39"/>
      <c r="AB9" s="39"/>
      <c r="AC9" s="38"/>
      <c r="AD9" s="39"/>
      <c r="AE9" s="39"/>
      <c r="AF9" s="39"/>
      <c r="AG9" s="39"/>
      <c r="AH9" s="38"/>
      <c r="AI9" s="39"/>
      <c r="AJ9" s="39"/>
      <c r="AK9" s="39"/>
      <c r="AL9" s="21"/>
      <c r="AM9" s="8"/>
      <c r="AO9" s="23">
        <v>1</v>
      </c>
      <c r="AP9" s="58">
        <f t="shared" si="0"/>
        <v>1</v>
      </c>
      <c r="AQ9" s="48">
        <f t="shared" ref="AQ9" si="3">AP9/136%</f>
        <v>0.73529411764705876</v>
      </c>
    </row>
    <row r="10" spans="1:43" x14ac:dyDescent="0.25">
      <c r="A10" s="37" t="s">
        <v>29</v>
      </c>
      <c r="C10" s="39">
        <v>1</v>
      </c>
      <c r="D10" s="21">
        <v>1</v>
      </c>
      <c r="E10" s="38"/>
      <c r="F10" s="21">
        <v>2</v>
      </c>
      <c r="G10" s="39">
        <v>1</v>
      </c>
      <c r="I10" s="39">
        <v>1</v>
      </c>
      <c r="J10" s="39">
        <v>1</v>
      </c>
      <c r="K10" s="38"/>
      <c r="L10" s="21"/>
      <c r="M10" s="39"/>
      <c r="N10" s="39"/>
      <c r="O10" s="39"/>
      <c r="P10" s="39">
        <v>1</v>
      </c>
      <c r="Q10" s="39"/>
      <c r="R10" s="39"/>
      <c r="S10" s="39"/>
      <c r="T10" s="39">
        <v>1</v>
      </c>
      <c r="U10" s="39">
        <v>1</v>
      </c>
      <c r="V10" s="38"/>
      <c r="W10" s="39"/>
      <c r="X10" s="38"/>
      <c r="Y10" s="39">
        <v>1</v>
      </c>
      <c r="Z10" s="39"/>
      <c r="AA10" s="39">
        <v>1</v>
      </c>
      <c r="AB10" s="39">
        <v>2</v>
      </c>
      <c r="AC10" s="38"/>
      <c r="AD10" s="39">
        <v>1</v>
      </c>
      <c r="AE10" s="39"/>
      <c r="AF10" s="39"/>
      <c r="AG10" s="39">
        <v>1</v>
      </c>
      <c r="AH10" s="38"/>
      <c r="AI10" s="39"/>
      <c r="AJ10" s="39"/>
      <c r="AK10" s="39">
        <v>1</v>
      </c>
      <c r="AL10" s="21">
        <v>1</v>
      </c>
      <c r="AM10" s="43">
        <v>1</v>
      </c>
      <c r="AN10" s="43">
        <v>1</v>
      </c>
      <c r="AP10" s="58">
        <f t="shared" si="0"/>
        <v>20</v>
      </c>
      <c r="AQ10" s="48">
        <f t="shared" si="1"/>
        <v>14.705882352941176</v>
      </c>
    </row>
    <row r="11" spans="1:43" s="43" customFormat="1" ht="14.25" x14ac:dyDescent="0.2">
      <c r="A11" s="43" t="s">
        <v>33</v>
      </c>
      <c r="B11" s="54">
        <f t="shared" ref="B11:AL11" si="4">SUM(B3:B10)</f>
        <v>3</v>
      </c>
      <c r="C11" s="54">
        <f t="shared" si="4"/>
        <v>8</v>
      </c>
      <c r="D11" s="54">
        <f t="shared" si="4"/>
        <v>7</v>
      </c>
      <c r="E11" s="54">
        <f t="shared" si="4"/>
        <v>0</v>
      </c>
      <c r="F11" s="54">
        <f t="shared" si="4"/>
        <v>11</v>
      </c>
      <c r="G11" s="54">
        <f t="shared" si="4"/>
        <v>6</v>
      </c>
      <c r="H11" s="54">
        <f t="shared" si="4"/>
        <v>5</v>
      </c>
      <c r="I11" s="54">
        <f t="shared" si="4"/>
        <v>2</v>
      </c>
      <c r="J11" s="54">
        <f t="shared" si="4"/>
        <v>4</v>
      </c>
      <c r="K11" s="54">
        <f t="shared" si="4"/>
        <v>0</v>
      </c>
      <c r="L11" s="54">
        <f t="shared" si="4"/>
        <v>3</v>
      </c>
      <c r="M11" s="54">
        <f t="shared" si="4"/>
        <v>4</v>
      </c>
      <c r="N11" s="54">
        <f t="shared" si="4"/>
        <v>0</v>
      </c>
      <c r="O11" s="54">
        <f t="shared" si="4"/>
        <v>3</v>
      </c>
      <c r="P11" s="54">
        <f t="shared" si="4"/>
        <v>6</v>
      </c>
      <c r="Q11" s="54">
        <f>SUM(Q3:Q10)</f>
        <v>2</v>
      </c>
      <c r="R11" s="54">
        <f>SUM(R3:R10)</f>
        <v>4</v>
      </c>
      <c r="S11" s="54">
        <f t="shared" si="4"/>
        <v>2</v>
      </c>
      <c r="T11" s="54">
        <f t="shared" ref="T11:U11" si="5">SUM(T3:T10)</f>
        <v>3</v>
      </c>
      <c r="U11" s="54">
        <f t="shared" si="5"/>
        <v>2</v>
      </c>
      <c r="V11" s="54">
        <f t="shared" si="4"/>
        <v>0</v>
      </c>
      <c r="W11" s="54">
        <f t="shared" si="4"/>
        <v>1</v>
      </c>
      <c r="X11" s="54">
        <f t="shared" si="4"/>
        <v>1</v>
      </c>
      <c r="Y11" s="54">
        <f t="shared" si="4"/>
        <v>4</v>
      </c>
      <c r="Z11" s="54">
        <f t="shared" si="4"/>
        <v>1</v>
      </c>
      <c r="AA11" s="54">
        <f t="shared" si="4"/>
        <v>11</v>
      </c>
      <c r="AB11" s="54">
        <f t="shared" si="4"/>
        <v>15</v>
      </c>
      <c r="AC11" s="54">
        <f t="shared" si="4"/>
        <v>0</v>
      </c>
      <c r="AD11" s="54">
        <f t="shared" si="4"/>
        <v>8</v>
      </c>
      <c r="AE11" s="54">
        <f t="shared" si="4"/>
        <v>1</v>
      </c>
      <c r="AF11" s="54">
        <f t="shared" si="4"/>
        <v>3</v>
      </c>
      <c r="AG11" s="54">
        <f t="shared" si="4"/>
        <v>3</v>
      </c>
      <c r="AH11" s="54">
        <f t="shared" si="4"/>
        <v>2</v>
      </c>
      <c r="AI11" s="54">
        <f t="shared" si="4"/>
        <v>3</v>
      </c>
      <c r="AJ11" s="54">
        <f t="shared" si="4"/>
        <v>5</v>
      </c>
      <c r="AK11" s="54">
        <f t="shared" si="4"/>
        <v>2</v>
      </c>
      <c r="AL11" s="54">
        <f t="shared" si="4"/>
        <v>1</v>
      </c>
      <c r="AP11" s="54">
        <f>SUM(AP3:AP10)</f>
        <v>142</v>
      </c>
      <c r="AQ11" s="54">
        <f>SUM(AQ3:AQ10)</f>
        <v>104.41176470588233</v>
      </c>
    </row>
    <row r="12" spans="1:43" x14ac:dyDescent="0.25">
      <c r="O12" s="21"/>
      <c r="P12" s="21"/>
      <c r="Q12" s="21"/>
      <c r="R12" s="21"/>
      <c r="S12" s="21"/>
      <c r="T12" s="21"/>
      <c r="U12" s="21"/>
      <c r="V12" s="21"/>
      <c r="W12" s="21"/>
    </row>
    <row r="18" spans="1:14" x14ac:dyDescent="0.25">
      <c r="B18" s="23"/>
      <c r="C18" s="23"/>
      <c r="D18" s="23"/>
      <c r="E18" s="23"/>
      <c r="F18" s="23"/>
      <c r="G18" s="23"/>
      <c r="H18" s="23"/>
      <c r="I18" s="23"/>
      <c r="J18" s="23"/>
      <c r="K18" s="43"/>
      <c r="L18" s="43"/>
      <c r="M18" s="23"/>
      <c r="N18" s="23"/>
    </row>
    <row r="19" spans="1:14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43"/>
      <c r="L19" s="43"/>
      <c r="M19" s="23"/>
      <c r="N19" s="23"/>
    </row>
    <row r="20" spans="1:14" x14ac:dyDescent="0.25">
      <c r="A20" s="37"/>
      <c r="B20" s="23"/>
      <c r="C20" s="23"/>
      <c r="D20" s="23"/>
      <c r="E20" s="23"/>
      <c r="F20" s="23"/>
      <c r="G20" s="23"/>
      <c r="H20" s="23"/>
      <c r="I20" s="23"/>
      <c r="J20" s="23"/>
      <c r="K20" s="43"/>
      <c r="L20" s="43"/>
      <c r="M20" s="23"/>
      <c r="N20" s="23"/>
    </row>
    <row r="21" spans="1:14" x14ac:dyDescent="0.25">
      <c r="A21" s="37"/>
      <c r="B21" s="23"/>
      <c r="C21" s="23"/>
      <c r="D21" s="23"/>
      <c r="E21" s="23"/>
      <c r="F21" s="23"/>
      <c r="G21" s="23"/>
      <c r="H21" s="23"/>
      <c r="I21" s="23"/>
      <c r="J21" s="23"/>
      <c r="K21" s="43"/>
      <c r="L21" s="43"/>
      <c r="M21" s="23"/>
      <c r="N21" s="23"/>
    </row>
    <row r="22" spans="1:14" x14ac:dyDescent="0.25">
      <c r="A22" s="37"/>
      <c r="B22" s="23"/>
      <c r="C22" s="23"/>
      <c r="D22" s="23"/>
      <c r="E22" s="23"/>
      <c r="F22" s="23"/>
      <c r="G22" s="23"/>
      <c r="H22" s="23"/>
      <c r="I22" s="23"/>
      <c r="J22" s="23"/>
      <c r="K22" s="43"/>
      <c r="L22" s="43"/>
      <c r="M22" s="23"/>
      <c r="N22" s="23"/>
    </row>
    <row r="23" spans="1:14" x14ac:dyDescent="0.25">
      <c r="A23" s="37"/>
      <c r="B23" s="23"/>
      <c r="C23" s="23"/>
      <c r="D23" s="23"/>
      <c r="E23" s="23"/>
      <c r="F23" s="23"/>
      <c r="G23" s="23"/>
      <c r="H23" s="23"/>
      <c r="I23" s="23"/>
      <c r="J23" s="23"/>
      <c r="K23" s="43"/>
      <c r="L23" s="43"/>
      <c r="M23" s="23"/>
      <c r="N23" s="23"/>
    </row>
    <row r="24" spans="1:14" x14ac:dyDescent="0.25">
      <c r="A24" s="37"/>
      <c r="B24" s="23"/>
      <c r="C24" s="23"/>
      <c r="D24" s="23"/>
      <c r="E24" s="23"/>
      <c r="F24" s="23"/>
      <c r="G24" s="23"/>
      <c r="H24" s="23"/>
      <c r="I24" s="23"/>
      <c r="J24" s="23"/>
      <c r="K24" s="43"/>
      <c r="L24" s="43"/>
      <c r="M24" s="23"/>
      <c r="N24" s="23"/>
    </row>
    <row r="25" spans="1:14" x14ac:dyDescent="0.25">
      <c r="A25" s="37"/>
      <c r="B25" s="23"/>
      <c r="C25" s="23"/>
      <c r="D25" s="23"/>
      <c r="E25" s="23"/>
      <c r="F25" s="23"/>
      <c r="G25" s="23"/>
      <c r="H25" s="23"/>
      <c r="I25" s="23"/>
      <c r="J25" s="23"/>
      <c r="K25" s="43"/>
      <c r="L25" s="43"/>
      <c r="M25" s="23"/>
      <c r="N25" s="23"/>
    </row>
    <row r="26" spans="1:14" x14ac:dyDescent="0.25">
      <c r="A26" s="37"/>
    </row>
    <row r="28" spans="1:14" x14ac:dyDescent="0.25">
      <c r="B28" s="23"/>
      <c r="C28" s="23"/>
    </row>
    <row r="29" spans="1:14" x14ac:dyDescent="0.25">
      <c r="B29" s="23"/>
      <c r="C29" s="23"/>
    </row>
    <row r="30" spans="1:14" x14ac:dyDescent="0.25">
      <c r="B30" s="23"/>
      <c r="C30" s="23"/>
    </row>
    <row r="31" spans="1:14" x14ac:dyDescent="0.25">
      <c r="B31" s="23"/>
      <c r="C31" s="23"/>
    </row>
  </sheetData>
  <mergeCells count="2">
    <mergeCell ref="A1:A2"/>
    <mergeCell ref="AP1:AQ1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topLeftCell="A13" workbookViewId="0">
      <selection sqref="A1:J1"/>
    </sheetView>
  </sheetViews>
  <sheetFormatPr defaultRowHeight="15" x14ac:dyDescent="0.25"/>
  <cols>
    <col min="1" max="1" width="14.7109375" style="1" bestFit="1" customWidth="1"/>
    <col min="2" max="10" width="9.140625" style="21"/>
    <col min="11" max="256" width="9.140625" style="1"/>
    <col min="257" max="257" width="14.7109375" style="1" bestFit="1" customWidth="1"/>
    <col min="258" max="512" width="9.140625" style="1"/>
    <col min="513" max="513" width="14.7109375" style="1" bestFit="1" customWidth="1"/>
    <col min="514" max="768" width="9.140625" style="1"/>
    <col min="769" max="769" width="14.7109375" style="1" bestFit="1" customWidth="1"/>
    <col min="770" max="1024" width="9.140625" style="1"/>
    <col min="1025" max="1025" width="14.7109375" style="1" bestFit="1" customWidth="1"/>
    <col min="1026" max="1280" width="9.140625" style="1"/>
    <col min="1281" max="1281" width="14.7109375" style="1" bestFit="1" customWidth="1"/>
    <col min="1282" max="1536" width="9.140625" style="1"/>
    <col min="1537" max="1537" width="14.7109375" style="1" bestFit="1" customWidth="1"/>
    <col min="1538" max="1792" width="9.140625" style="1"/>
    <col min="1793" max="1793" width="14.7109375" style="1" bestFit="1" customWidth="1"/>
    <col min="1794" max="2048" width="9.140625" style="1"/>
    <col min="2049" max="2049" width="14.7109375" style="1" bestFit="1" customWidth="1"/>
    <col min="2050" max="2304" width="9.140625" style="1"/>
    <col min="2305" max="2305" width="14.7109375" style="1" bestFit="1" customWidth="1"/>
    <col min="2306" max="2560" width="9.140625" style="1"/>
    <col min="2561" max="2561" width="14.7109375" style="1" bestFit="1" customWidth="1"/>
    <col min="2562" max="2816" width="9.140625" style="1"/>
    <col min="2817" max="2817" width="14.7109375" style="1" bestFit="1" customWidth="1"/>
    <col min="2818" max="3072" width="9.140625" style="1"/>
    <col min="3073" max="3073" width="14.7109375" style="1" bestFit="1" customWidth="1"/>
    <col min="3074" max="3328" width="9.140625" style="1"/>
    <col min="3329" max="3329" width="14.7109375" style="1" bestFit="1" customWidth="1"/>
    <col min="3330" max="3584" width="9.140625" style="1"/>
    <col min="3585" max="3585" width="14.7109375" style="1" bestFit="1" customWidth="1"/>
    <col min="3586" max="3840" width="9.140625" style="1"/>
    <col min="3841" max="3841" width="14.7109375" style="1" bestFit="1" customWidth="1"/>
    <col min="3842" max="4096" width="9.140625" style="1"/>
    <col min="4097" max="4097" width="14.7109375" style="1" bestFit="1" customWidth="1"/>
    <col min="4098" max="4352" width="9.140625" style="1"/>
    <col min="4353" max="4353" width="14.7109375" style="1" bestFit="1" customWidth="1"/>
    <col min="4354" max="4608" width="9.140625" style="1"/>
    <col min="4609" max="4609" width="14.7109375" style="1" bestFit="1" customWidth="1"/>
    <col min="4610" max="4864" width="9.140625" style="1"/>
    <col min="4865" max="4865" width="14.7109375" style="1" bestFit="1" customWidth="1"/>
    <col min="4866" max="5120" width="9.140625" style="1"/>
    <col min="5121" max="5121" width="14.7109375" style="1" bestFit="1" customWidth="1"/>
    <col min="5122" max="5376" width="9.140625" style="1"/>
    <col min="5377" max="5377" width="14.7109375" style="1" bestFit="1" customWidth="1"/>
    <col min="5378" max="5632" width="9.140625" style="1"/>
    <col min="5633" max="5633" width="14.7109375" style="1" bestFit="1" customWidth="1"/>
    <col min="5634" max="5888" width="9.140625" style="1"/>
    <col min="5889" max="5889" width="14.7109375" style="1" bestFit="1" customWidth="1"/>
    <col min="5890" max="6144" width="9.140625" style="1"/>
    <col min="6145" max="6145" width="14.7109375" style="1" bestFit="1" customWidth="1"/>
    <col min="6146" max="6400" width="9.140625" style="1"/>
    <col min="6401" max="6401" width="14.7109375" style="1" bestFit="1" customWidth="1"/>
    <col min="6402" max="6656" width="9.140625" style="1"/>
    <col min="6657" max="6657" width="14.7109375" style="1" bestFit="1" customWidth="1"/>
    <col min="6658" max="6912" width="9.140625" style="1"/>
    <col min="6913" max="6913" width="14.7109375" style="1" bestFit="1" customWidth="1"/>
    <col min="6914" max="7168" width="9.140625" style="1"/>
    <col min="7169" max="7169" width="14.7109375" style="1" bestFit="1" customWidth="1"/>
    <col min="7170" max="7424" width="9.140625" style="1"/>
    <col min="7425" max="7425" width="14.7109375" style="1" bestFit="1" customWidth="1"/>
    <col min="7426" max="7680" width="9.140625" style="1"/>
    <col min="7681" max="7681" width="14.7109375" style="1" bestFit="1" customWidth="1"/>
    <col min="7682" max="7936" width="9.140625" style="1"/>
    <col min="7937" max="7937" width="14.7109375" style="1" bestFit="1" customWidth="1"/>
    <col min="7938" max="8192" width="9.140625" style="1"/>
    <col min="8193" max="8193" width="14.7109375" style="1" bestFit="1" customWidth="1"/>
    <col min="8194" max="8448" width="9.140625" style="1"/>
    <col min="8449" max="8449" width="14.7109375" style="1" bestFit="1" customWidth="1"/>
    <col min="8450" max="8704" width="9.140625" style="1"/>
    <col min="8705" max="8705" width="14.7109375" style="1" bestFit="1" customWidth="1"/>
    <col min="8706" max="8960" width="9.140625" style="1"/>
    <col min="8961" max="8961" width="14.7109375" style="1" bestFit="1" customWidth="1"/>
    <col min="8962" max="9216" width="9.140625" style="1"/>
    <col min="9217" max="9217" width="14.7109375" style="1" bestFit="1" customWidth="1"/>
    <col min="9218" max="9472" width="9.140625" style="1"/>
    <col min="9473" max="9473" width="14.7109375" style="1" bestFit="1" customWidth="1"/>
    <col min="9474" max="9728" width="9.140625" style="1"/>
    <col min="9729" max="9729" width="14.7109375" style="1" bestFit="1" customWidth="1"/>
    <col min="9730" max="9984" width="9.140625" style="1"/>
    <col min="9985" max="9985" width="14.7109375" style="1" bestFit="1" customWidth="1"/>
    <col min="9986" max="10240" width="9.140625" style="1"/>
    <col min="10241" max="10241" width="14.7109375" style="1" bestFit="1" customWidth="1"/>
    <col min="10242" max="10496" width="9.140625" style="1"/>
    <col min="10497" max="10497" width="14.7109375" style="1" bestFit="1" customWidth="1"/>
    <col min="10498" max="10752" width="9.140625" style="1"/>
    <col min="10753" max="10753" width="14.7109375" style="1" bestFit="1" customWidth="1"/>
    <col min="10754" max="11008" width="9.140625" style="1"/>
    <col min="11009" max="11009" width="14.7109375" style="1" bestFit="1" customWidth="1"/>
    <col min="11010" max="11264" width="9.140625" style="1"/>
    <col min="11265" max="11265" width="14.7109375" style="1" bestFit="1" customWidth="1"/>
    <col min="11266" max="11520" width="9.140625" style="1"/>
    <col min="11521" max="11521" width="14.7109375" style="1" bestFit="1" customWidth="1"/>
    <col min="11522" max="11776" width="9.140625" style="1"/>
    <col min="11777" max="11777" width="14.7109375" style="1" bestFit="1" customWidth="1"/>
    <col min="11778" max="12032" width="9.140625" style="1"/>
    <col min="12033" max="12033" width="14.7109375" style="1" bestFit="1" customWidth="1"/>
    <col min="12034" max="12288" width="9.140625" style="1"/>
    <col min="12289" max="12289" width="14.7109375" style="1" bestFit="1" customWidth="1"/>
    <col min="12290" max="12544" width="9.140625" style="1"/>
    <col min="12545" max="12545" width="14.7109375" style="1" bestFit="1" customWidth="1"/>
    <col min="12546" max="12800" width="9.140625" style="1"/>
    <col min="12801" max="12801" width="14.7109375" style="1" bestFit="1" customWidth="1"/>
    <col min="12802" max="13056" width="9.140625" style="1"/>
    <col min="13057" max="13057" width="14.7109375" style="1" bestFit="1" customWidth="1"/>
    <col min="13058" max="13312" width="9.140625" style="1"/>
    <col min="13313" max="13313" width="14.7109375" style="1" bestFit="1" customWidth="1"/>
    <col min="13314" max="13568" width="9.140625" style="1"/>
    <col min="13569" max="13569" width="14.7109375" style="1" bestFit="1" customWidth="1"/>
    <col min="13570" max="13824" width="9.140625" style="1"/>
    <col min="13825" max="13825" width="14.7109375" style="1" bestFit="1" customWidth="1"/>
    <col min="13826" max="14080" width="9.140625" style="1"/>
    <col min="14081" max="14081" width="14.7109375" style="1" bestFit="1" customWidth="1"/>
    <col min="14082" max="14336" width="9.140625" style="1"/>
    <col min="14337" max="14337" width="14.7109375" style="1" bestFit="1" customWidth="1"/>
    <col min="14338" max="14592" width="9.140625" style="1"/>
    <col min="14593" max="14593" width="14.7109375" style="1" bestFit="1" customWidth="1"/>
    <col min="14594" max="14848" width="9.140625" style="1"/>
    <col min="14849" max="14849" width="14.7109375" style="1" bestFit="1" customWidth="1"/>
    <col min="14850" max="15104" width="9.140625" style="1"/>
    <col min="15105" max="15105" width="14.7109375" style="1" bestFit="1" customWidth="1"/>
    <col min="15106" max="15360" width="9.140625" style="1"/>
    <col min="15361" max="15361" width="14.7109375" style="1" bestFit="1" customWidth="1"/>
    <col min="15362" max="15616" width="9.140625" style="1"/>
    <col min="15617" max="15617" width="14.7109375" style="1" bestFit="1" customWidth="1"/>
    <col min="15618" max="15872" width="9.140625" style="1"/>
    <col min="15873" max="15873" width="14.7109375" style="1" bestFit="1" customWidth="1"/>
    <col min="15874" max="16128" width="9.140625" style="1"/>
    <col min="16129" max="16129" width="14.7109375" style="1" bestFit="1" customWidth="1"/>
    <col min="16130" max="16384" width="9.140625" style="1"/>
  </cols>
  <sheetData>
    <row r="1" spans="1:10" ht="18.75" x14ac:dyDescent="0.3">
      <c r="A1" s="68" t="s">
        <v>161</v>
      </c>
      <c r="B1" s="68"/>
      <c r="C1" s="68"/>
      <c r="D1" s="68"/>
      <c r="E1" s="68"/>
      <c r="F1" s="68"/>
      <c r="G1" s="68"/>
      <c r="H1" s="68"/>
      <c r="I1" s="68"/>
      <c r="J1" s="68"/>
    </row>
    <row r="2" spans="1:10" x14ac:dyDescent="0.25">
      <c r="A2" s="67" t="s">
        <v>35</v>
      </c>
      <c r="B2" s="75" t="s">
        <v>36</v>
      </c>
      <c r="C2" s="75"/>
      <c r="D2" s="75"/>
      <c r="E2" s="75" t="s">
        <v>37</v>
      </c>
      <c r="F2" s="75"/>
      <c r="G2" s="75"/>
      <c r="H2" s="74" t="s">
        <v>38</v>
      </c>
      <c r="I2" s="75"/>
      <c r="J2" s="75"/>
    </row>
    <row r="3" spans="1:10" x14ac:dyDescent="0.25">
      <c r="A3" s="67"/>
      <c r="B3" s="42" t="s">
        <v>82</v>
      </c>
      <c r="C3" s="42" t="s">
        <v>91</v>
      </c>
      <c r="D3" s="42" t="s">
        <v>92</v>
      </c>
      <c r="E3" s="42" t="s">
        <v>82</v>
      </c>
      <c r="F3" s="42" t="s">
        <v>91</v>
      </c>
      <c r="G3" s="42" t="s">
        <v>92</v>
      </c>
      <c r="H3" s="42" t="s">
        <v>82</v>
      </c>
      <c r="I3" s="42" t="s">
        <v>91</v>
      </c>
      <c r="J3" s="42" t="s">
        <v>92</v>
      </c>
    </row>
    <row r="4" spans="1:10" x14ac:dyDescent="0.25">
      <c r="A4" s="1" t="s">
        <v>41</v>
      </c>
    </row>
    <row r="5" spans="1:10" x14ac:dyDescent="0.25">
      <c r="A5" s="1" t="s">
        <v>42</v>
      </c>
      <c r="B5" s="21">
        <v>10</v>
      </c>
      <c r="C5" s="21">
        <v>4</v>
      </c>
      <c r="D5" s="21">
        <v>4</v>
      </c>
      <c r="E5" s="21">
        <v>7</v>
      </c>
      <c r="F5" s="21">
        <v>5</v>
      </c>
      <c r="G5" s="21">
        <v>5</v>
      </c>
      <c r="H5" s="21">
        <v>4</v>
      </c>
      <c r="I5" s="21">
        <v>2</v>
      </c>
      <c r="J5" s="21">
        <v>2</v>
      </c>
    </row>
    <row r="6" spans="1:10" x14ac:dyDescent="0.25">
      <c r="A6" s="1" t="s">
        <v>43</v>
      </c>
      <c r="B6" s="21">
        <v>7</v>
      </c>
      <c r="C6" s="21">
        <v>5</v>
      </c>
      <c r="D6" s="21">
        <v>4</v>
      </c>
      <c r="E6" s="21">
        <v>1</v>
      </c>
      <c r="F6" s="21">
        <v>1</v>
      </c>
      <c r="G6" s="21">
        <v>1</v>
      </c>
      <c r="H6" s="21">
        <v>1</v>
      </c>
      <c r="I6" s="21">
        <v>1</v>
      </c>
      <c r="J6" s="21">
        <v>1</v>
      </c>
    </row>
    <row r="7" spans="1:10" x14ac:dyDescent="0.25">
      <c r="A7" s="1" t="s">
        <v>44</v>
      </c>
      <c r="B7" s="21">
        <v>17</v>
      </c>
      <c r="C7" s="21">
        <v>9</v>
      </c>
      <c r="D7" s="21">
        <v>8</v>
      </c>
      <c r="E7" s="21">
        <v>5</v>
      </c>
      <c r="F7" s="21">
        <v>4</v>
      </c>
      <c r="G7" s="21">
        <v>4</v>
      </c>
      <c r="H7" s="21">
        <v>1</v>
      </c>
      <c r="I7" s="21">
        <v>1</v>
      </c>
      <c r="J7" s="21">
        <v>1</v>
      </c>
    </row>
    <row r="8" spans="1:10" x14ac:dyDescent="0.25">
      <c r="A8" s="1" t="s">
        <v>45</v>
      </c>
      <c r="B8" s="21">
        <v>94</v>
      </c>
      <c r="C8" s="21">
        <v>73</v>
      </c>
      <c r="D8" s="21">
        <v>36</v>
      </c>
      <c r="E8" s="21">
        <v>46</v>
      </c>
      <c r="F8" s="21">
        <v>38</v>
      </c>
      <c r="G8" s="25">
        <v>25</v>
      </c>
      <c r="H8" s="21">
        <v>10</v>
      </c>
      <c r="I8" s="25">
        <v>9</v>
      </c>
      <c r="J8" s="25">
        <v>6</v>
      </c>
    </row>
    <row r="9" spans="1:10" x14ac:dyDescent="0.25">
      <c r="A9" s="1" t="s">
        <v>93</v>
      </c>
      <c r="G9" s="25"/>
      <c r="I9" s="25"/>
      <c r="J9" s="25"/>
    </row>
    <row r="10" spans="1:10" x14ac:dyDescent="0.25">
      <c r="A10" s="1" t="s">
        <v>46</v>
      </c>
      <c r="B10" s="21">
        <v>1</v>
      </c>
      <c r="C10" s="21">
        <v>1</v>
      </c>
      <c r="D10" s="21">
        <v>1</v>
      </c>
    </row>
    <row r="11" spans="1:10" x14ac:dyDescent="0.25">
      <c r="A11" s="1" t="s">
        <v>47</v>
      </c>
    </row>
    <row r="12" spans="1:10" x14ac:dyDescent="0.25">
      <c r="A12" s="1" t="s">
        <v>48</v>
      </c>
      <c r="B12" s="21">
        <v>2</v>
      </c>
      <c r="C12" s="21">
        <v>2</v>
      </c>
      <c r="D12" s="21">
        <v>2</v>
      </c>
      <c r="E12" s="21">
        <v>1</v>
      </c>
      <c r="F12" s="21">
        <v>1</v>
      </c>
      <c r="G12" s="21">
        <v>1</v>
      </c>
    </row>
    <row r="13" spans="1:10" x14ac:dyDescent="0.25">
      <c r="A13" s="1" t="s">
        <v>49</v>
      </c>
      <c r="E13" s="21">
        <v>5</v>
      </c>
      <c r="F13" s="21">
        <v>4</v>
      </c>
      <c r="G13" s="21">
        <v>4</v>
      </c>
      <c r="H13" s="21">
        <v>1</v>
      </c>
      <c r="I13" s="21">
        <v>1</v>
      </c>
      <c r="J13" s="21">
        <v>1</v>
      </c>
    </row>
    <row r="14" spans="1:10" x14ac:dyDescent="0.25">
      <c r="A14" s="1" t="s">
        <v>50</v>
      </c>
      <c r="E14" s="21">
        <v>4</v>
      </c>
      <c r="F14" s="21">
        <v>3</v>
      </c>
      <c r="G14" s="21">
        <v>3</v>
      </c>
      <c r="H14" s="21">
        <v>3</v>
      </c>
      <c r="I14" s="21">
        <v>3</v>
      </c>
      <c r="J14" s="21">
        <v>3</v>
      </c>
    </row>
    <row r="15" spans="1:10" x14ac:dyDescent="0.25">
      <c r="A15" s="1" t="s">
        <v>51</v>
      </c>
      <c r="B15" s="21">
        <v>1</v>
      </c>
      <c r="C15" s="21">
        <v>1</v>
      </c>
      <c r="D15" s="21">
        <v>1</v>
      </c>
      <c r="E15" s="21">
        <v>1</v>
      </c>
      <c r="F15" s="21">
        <v>1</v>
      </c>
      <c r="G15" s="21">
        <v>1</v>
      </c>
    </row>
    <row r="16" spans="1:10" x14ac:dyDescent="0.25">
      <c r="A16" s="1" t="s">
        <v>94</v>
      </c>
      <c r="E16" s="21">
        <v>1</v>
      </c>
      <c r="F16" s="21">
        <v>1</v>
      </c>
      <c r="G16" s="21">
        <v>1</v>
      </c>
    </row>
    <row r="17" spans="1:10" x14ac:dyDescent="0.25">
      <c r="A17" s="1" t="s">
        <v>52</v>
      </c>
      <c r="E17" s="21">
        <v>8</v>
      </c>
      <c r="F17" s="21">
        <v>3</v>
      </c>
      <c r="G17" s="21">
        <v>3</v>
      </c>
    </row>
    <row r="18" spans="1:10" x14ac:dyDescent="0.25">
      <c r="A18" s="1" t="s">
        <v>138</v>
      </c>
      <c r="E18" s="21">
        <v>2</v>
      </c>
      <c r="F18" s="21">
        <v>1</v>
      </c>
      <c r="G18" s="21">
        <v>1</v>
      </c>
    </row>
    <row r="19" spans="1:10" x14ac:dyDescent="0.25">
      <c r="A19" s="1" t="s">
        <v>53</v>
      </c>
      <c r="B19" s="21">
        <v>19</v>
      </c>
      <c r="C19" s="21">
        <v>11</v>
      </c>
      <c r="D19" s="21">
        <v>8</v>
      </c>
      <c r="E19" s="21">
        <v>51</v>
      </c>
      <c r="F19" s="21">
        <v>14</v>
      </c>
      <c r="G19" s="21">
        <v>12</v>
      </c>
      <c r="H19" s="21">
        <v>11</v>
      </c>
      <c r="I19" s="21">
        <v>9</v>
      </c>
      <c r="J19" s="21">
        <v>9</v>
      </c>
    </row>
    <row r="20" spans="1:10" x14ac:dyDescent="0.25">
      <c r="A20" s="1" t="s">
        <v>54</v>
      </c>
      <c r="B20" s="21">
        <v>9</v>
      </c>
      <c r="C20" s="21">
        <v>8</v>
      </c>
      <c r="D20" s="21">
        <v>8</v>
      </c>
      <c r="E20" s="21">
        <v>5</v>
      </c>
      <c r="F20" s="21">
        <v>5</v>
      </c>
      <c r="G20" s="21">
        <v>5</v>
      </c>
    </row>
    <row r="21" spans="1:10" x14ac:dyDescent="0.25">
      <c r="A21" s="1" t="s">
        <v>55</v>
      </c>
      <c r="B21" s="21">
        <v>12</v>
      </c>
      <c r="C21" s="21">
        <v>12</v>
      </c>
      <c r="D21" s="21">
        <v>11</v>
      </c>
      <c r="E21" s="21">
        <v>10</v>
      </c>
      <c r="F21" s="21">
        <v>8</v>
      </c>
      <c r="G21" s="21">
        <v>8</v>
      </c>
      <c r="H21" s="21">
        <v>3</v>
      </c>
      <c r="I21" s="21">
        <v>3</v>
      </c>
      <c r="J21" s="21">
        <v>3</v>
      </c>
    </row>
    <row r="22" spans="1:10" x14ac:dyDescent="0.25">
      <c r="A22" s="1" t="s">
        <v>56</v>
      </c>
      <c r="B22" s="21">
        <v>4</v>
      </c>
      <c r="C22" s="21">
        <v>3</v>
      </c>
      <c r="D22" s="21">
        <v>3</v>
      </c>
      <c r="E22" s="21">
        <v>3</v>
      </c>
      <c r="F22" s="21">
        <v>3</v>
      </c>
      <c r="G22" s="21">
        <v>3</v>
      </c>
    </row>
    <row r="23" spans="1:10" x14ac:dyDescent="0.25">
      <c r="A23" s="1" t="s">
        <v>57</v>
      </c>
      <c r="B23" s="21">
        <v>10</v>
      </c>
      <c r="C23" s="21">
        <v>9</v>
      </c>
      <c r="D23" s="21">
        <v>9</v>
      </c>
      <c r="E23" s="21">
        <v>3</v>
      </c>
      <c r="F23" s="21">
        <v>3</v>
      </c>
      <c r="G23" s="21">
        <v>3</v>
      </c>
    </row>
    <row r="24" spans="1:10" x14ac:dyDescent="0.25">
      <c r="A24" s="1" t="s">
        <v>58</v>
      </c>
      <c r="B24" s="21">
        <v>5</v>
      </c>
      <c r="C24" s="21">
        <v>4</v>
      </c>
      <c r="D24" s="21">
        <v>4</v>
      </c>
      <c r="E24" s="21">
        <v>5</v>
      </c>
      <c r="F24" s="21">
        <v>3</v>
      </c>
      <c r="G24" s="21">
        <v>3</v>
      </c>
      <c r="H24" s="21">
        <v>1</v>
      </c>
      <c r="I24" s="21">
        <v>1</v>
      </c>
      <c r="J24" s="21">
        <v>1</v>
      </c>
    </row>
    <row r="25" spans="1:10" x14ac:dyDescent="0.25">
      <c r="A25" s="1" t="s">
        <v>59</v>
      </c>
      <c r="B25" s="21">
        <v>10</v>
      </c>
      <c r="C25" s="21">
        <v>8</v>
      </c>
      <c r="D25" s="21">
        <v>8</v>
      </c>
      <c r="E25" s="21">
        <v>5</v>
      </c>
      <c r="F25" s="21">
        <v>4</v>
      </c>
      <c r="G25" s="21">
        <v>4</v>
      </c>
      <c r="H25" s="21">
        <v>1</v>
      </c>
      <c r="I25" s="21">
        <v>1</v>
      </c>
      <c r="J25" s="21">
        <v>1</v>
      </c>
    </row>
    <row r="26" spans="1:10" x14ac:dyDescent="0.25">
      <c r="A26" s="1" t="s">
        <v>60</v>
      </c>
      <c r="B26" s="21">
        <v>1</v>
      </c>
      <c r="C26" s="21">
        <v>1</v>
      </c>
      <c r="D26" s="21">
        <v>1</v>
      </c>
    </row>
    <row r="27" spans="1:10" x14ac:dyDescent="0.25">
      <c r="A27" s="1" t="s">
        <v>61</v>
      </c>
      <c r="B27" s="21">
        <v>11</v>
      </c>
      <c r="C27" s="21">
        <v>10</v>
      </c>
      <c r="D27" s="21">
        <v>9</v>
      </c>
      <c r="E27" s="21">
        <v>4</v>
      </c>
      <c r="F27" s="21">
        <v>4</v>
      </c>
      <c r="G27" s="21">
        <v>4</v>
      </c>
    </row>
    <row r="28" spans="1:10" x14ac:dyDescent="0.25">
      <c r="A28" s="1" t="s">
        <v>62</v>
      </c>
      <c r="B28" s="21">
        <v>4</v>
      </c>
      <c r="C28" s="21">
        <v>3</v>
      </c>
      <c r="D28" s="21">
        <v>3</v>
      </c>
    </row>
    <row r="29" spans="1:10" x14ac:dyDescent="0.25">
      <c r="A29" s="1" t="s">
        <v>63</v>
      </c>
      <c r="B29" s="21">
        <v>1</v>
      </c>
      <c r="C29" s="21">
        <v>1</v>
      </c>
      <c r="D29" s="21">
        <v>1</v>
      </c>
      <c r="H29" s="21">
        <v>1</v>
      </c>
      <c r="I29" s="21">
        <v>1</v>
      </c>
      <c r="J29" s="21">
        <v>1</v>
      </c>
    </row>
    <row r="30" spans="1:10" x14ac:dyDescent="0.25">
      <c r="A30" s="1" t="s">
        <v>64</v>
      </c>
      <c r="B30" s="21">
        <v>2</v>
      </c>
      <c r="C30" s="21">
        <v>2</v>
      </c>
      <c r="D30" s="21">
        <v>2</v>
      </c>
      <c r="E30" s="21">
        <v>3</v>
      </c>
      <c r="F30" s="21">
        <v>3</v>
      </c>
      <c r="G30" s="21">
        <v>3</v>
      </c>
      <c r="H30" s="21">
        <v>1</v>
      </c>
      <c r="I30" s="21">
        <v>1</v>
      </c>
      <c r="J30" s="21">
        <v>1</v>
      </c>
    </row>
    <row r="31" spans="1:10" x14ac:dyDescent="0.25">
      <c r="A31" s="1" t="s">
        <v>65</v>
      </c>
      <c r="B31" s="21">
        <v>4</v>
      </c>
      <c r="C31" s="21">
        <v>4</v>
      </c>
      <c r="D31" s="21">
        <v>4</v>
      </c>
      <c r="E31" s="21">
        <v>4</v>
      </c>
      <c r="F31" s="21">
        <v>4</v>
      </c>
      <c r="G31" s="21">
        <v>4</v>
      </c>
    </row>
    <row r="32" spans="1:10" x14ac:dyDescent="0.25">
      <c r="A32" s="1" t="s">
        <v>66</v>
      </c>
    </row>
    <row r="33" spans="1:10" x14ac:dyDescent="0.25">
      <c r="A33" s="1" t="s">
        <v>67</v>
      </c>
      <c r="B33" s="21">
        <v>3</v>
      </c>
      <c r="C33" s="21">
        <v>3</v>
      </c>
      <c r="D33" s="21">
        <v>1</v>
      </c>
      <c r="E33" s="21">
        <v>2</v>
      </c>
      <c r="F33" s="21">
        <v>2</v>
      </c>
      <c r="G33" s="21">
        <v>2</v>
      </c>
      <c r="H33" s="21">
        <v>2</v>
      </c>
      <c r="I33" s="21">
        <v>2</v>
      </c>
      <c r="J33" s="21">
        <v>2</v>
      </c>
    </row>
    <row r="34" spans="1:10" x14ac:dyDescent="0.25">
      <c r="A34" s="1" t="s">
        <v>68</v>
      </c>
      <c r="B34" s="21">
        <v>5</v>
      </c>
      <c r="C34" s="21">
        <v>5</v>
      </c>
      <c r="D34" s="21">
        <v>5</v>
      </c>
      <c r="E34" s="21">
        <v>7</v>
      </c>
      <c r="F34" s="21">
        <v>7</v>
      </c>
      <c r="G34" s="21">
        <v>7</v>
      </c>
    </row>
    <row r="35" spans="1:10" x14ac:dyDescent="0.25">
      <c r="A35" s="1" t="s">
        <v>69</v>
      </c>
      <c r="B35" s="21">
        <v>14</v>
      </c>
      <c r="C35" s="21">
        <v>10</v>
      </c>
      <c r="D35" s="21">
        <v>4</v>
      </c>
      <c r="E35" s="21">
        <v>1</v>
      </c>
      <c r="F35" s="21">
        <v>1</v>
      </c>
      <c r="G35" s="21">
        <v>1</v>
      </c>
      <c r="H35" s="21">
        <v>1</v>
      </c>
      <c r="I35" s="21">
        <v>1</v>
      </c>
      <c r="J35" s="21">
        <v>1</v>
      </c>
    </row>
    <row r="36" spans="1:10" x14ac:dyDescent="0.25">
      <c r="A36" s="1" t="s">
        <v>70</v>
      </c>
      <c r="B36" s="21">
        <v>15</v>
      </c>
      <c r="C36" s="21">
        <v>15</v>
      </c>
      <c r="D36" s="21">
        <v>12</v>
      </c>
      <c r="E36" s="21">
        <v>5</v>
      </c>
      <c r="F36" s="21">
        <v>5</v>
      </c>
      <c r="G36" s="21">
        <v>4</v>
      </c>
      <c r="H36" s="21">
        <v>6</v>
      </c>
      <c r="I36" s="21">
        <v>5</v>
      </c>
      <c r="J36" s="21">
        <v>3</v>
      </c>
    </row>
    <row r="37" spans="1:10" x14ac:dyDescent="0.25">
      <c r="A37" s="1" t="s">
        <v>71</v>
      </c>
      <c r="B37" s="21">
        <v>2</v>
      </c>
      <c r="C37" s="21">
        <v>2</v>
      </c>
      <c r="D37" s="21">
        <v>2</v>
      </c>
      <c r="E37" s="21">
        <v>2</v>
      </c>
      <c r="F37" s="21">
        <v>2</v>
      </c>
      <c r="G37" s="21">
        <v>2</v>
      </c>
      <c r="H37" s="21">
        <v>2</v>
      </c>
      <c r="I37" s="21">
        <v>2</v>
      </c>
      <c r="J37" s="21">
        <v>2</v>
      </c>
    </row>
    <row r="38" spans="1:10" x14ac:dyDescent="0.25">
      <c r="A38" s="1" t="s">
        <v>72</v>
      </c>
      <c r="B38" s="21">
        <v>3</v>
      </c>
      <c r="C38" s="21">
        <v>3</v>
      </c>
      <c r="D38" s="21">
        <v>3</v>
      </c>
      <c r="E38" s="21">
        <v>1</v>
      </c>
      <c r="F38" s="21">
        <v>1</v>
      </c>
      <c r="G38" s="21">
        <v>1</v>
      </c>
      <c r="H38" s="21">
        <v>1</v>
      </c>
      <c r="I38" s="21">
        <v>1</v>
      </c>
      <c r="J38" s="21">
        <v>1</v>
      </c>
    </row>
    <row r="39" spans="1:10" x14ac:dyDescent="0.25">
      <c r="A39" s="1" t="s">
        <v>73</v>
      </c>
    </row>
    <row r="40" spans="1:10" s="4" customFormat="1" ht="14.25" x14ac:dyDescent="0.2">
      <c r="A40" s="4" t="s">
        <v>74</v>
      </c>
      <c r="B40" s="54">
        <f>SUM(B2:B39)</f>
        <v>266</v>
      </c>
      <c r="C40" s="54">
        <f>SUM(C2:C38)</f>
        <v>209</v>
      </c>
      <c r="D40" s="54"/>
      <c r="E40" s="54">
        <f>SUM(E2:E39)</f>
        <v>192</v>
      </c>
      <c r="F40" s="54">
        <f>SUM(F2:F38)</f>
        <v>131</v>
      </c>
      <c r="G40" s="54"/>
      <c r="H40" s="54">
        <f>SUM(H2:H39)</f>
        <v>50</v>
      </c>
      <c r="I40" s="54">
        <f>SUM(I2:I39)</f>
        <v>44</v>
      </c>
      <c r="J40" s="54"/>
    </row>
  </sheetData>
  <mergeCells count="5">
    <mergeCell ref="A1:J1"/>
    <mergeCell ref="A2:A3"/>
    <mergeCell ref="B2:D2"/>
    <mergeCell ref="E2:G2"/>
    <mergeCell ref="H2:J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5" sqref="A3:C5"/>
    </sheetView>
  </sheetViews>
  <sheetFormatPr defaultRowHeight="15" x14ac:dyDescent="0.25"/>
  <cols>
    <col min="1" max="1" width="13.85546875" style="1" bestFit="1" customWidth="1"/>
    <col min="2" max="3" width="9.140625" style="2"/>
    <col min="4" max="16384" width="9.140625" style="1"/>
  </cols>
  <sheetData>
    <row r="1" spans="1:3" ht="18.75" x14ac:dyDescent="0.3">
      <c r="A1" s="65" t="s">
        <v>163</v>
      </c>
      <c r="B1" s="65"/>
      <c r="C1" s="65"/>
    </row>
    <row r="2" spans="1:3" s="4" customFormat="1" ht="14.25" x14ac:dyDescent="0.2">
      <c r="B2" s="40" t="s">
        <v>82</v>
      </c>
      <c r="C2" s="40" t="s">
        <v>1</v>
      </c>
    </row>
    <row r="3" spans="1:3" x14ac:dyDescent="0.25">
      <c r="A3" s="1" t="s">
        <v>139</v>
      </c>
      <c r="B3" s="2">
        <v>17</v>
      </c>
      <c r="C3" s="3">
        <f>B3/66%</f>
        <v>25.757575757575758</v>
      </c>
    </row>
    <row r="4" spans="1:3" x14ac:dyDescent="0.25">
      <c r="A4" s="1" t="s">
        <v>140</v>
      </c>
      <c r="B4" s="2">
        <v>4</v>
      </c>
      <c r="C4" s="3">
        <f t="shared" ref="C4:C5" si="0">B4/66%</f>
        <v>6.0606060606060606</v>
      </c>
    </row>
    <row r="5" spans="1:3" x14ac:dyDescent="0.25">
      <c r="A5" s="1" t="s">
        <v>141</v>
      </c>
      <c r="B5" s="2">
        <v>45</v>
      </c>
      <c r="C5" s="3">
        <f t="shared" si="0"/>
        <v>68.181818181818173</v>
      </c>
    </row>
    <row r="6" spans="1:3" s="4" customFormat="1" ht="14.25" x14ac:dyDescent="0.2">
      <c r="A6" s="4" t="s">
        <v>33</v>
      </c>
      <c r="B6" s="40">
        <f>SUM(B3:B5)</f>
        <v>66</v>
      </c>
      <c r="C6" s="40">
        <f>SUM(C3:C5)</f>
        <v>100</v>
      </c>
    </row>
  </sheetData>
  <mergeCells count="1">
    <mergeCell ref="A1:C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zoomScale="70" zoomScaleNormal="70" workbookViewId="0">
      <selection activeCell="D8" sqref="D8"/>
    </sheetView>
  </sheetViews>
  <sheetFormatPr defaultRowHeight="15" x14ac:dyDescent="0.25"/>
  <cols>
    <col min="1" max="1" width="24.42578125" style="1" bestFit="1" customWidth="1"/>
    <col min="2" max="7" width="7.7109375" style="2" customWidth="1"/>
    <col min="8" max="9" width="9.28515625" style="4" customWidth="1"/>
    <col min="10" max="11" width="9.140625" style="4"/>
    <col min="12" max="16384" width="9.140625" style="1"/>
  </cols>
  <sheetData>
    <row r="1" spans="1:11" s="4" customFormat="1" ht="14.25" x14ac:dyDescent="0.2">
      <c r="A1" s="67" t="s">
        <v>11</v>
      </c>
      <c r="B1" s="66" t="s">
        <v>139</v>
      </c>
      <c r="C1" s="66"/>
      <c r="D1" s="66" t="s">
        <v>140</v>
      </c>
      <c r="E1" s="66"/>
      <c r="F1" s="66" t="s">
        <v>141</v>
      </c>
      <c r="G1" s="66"/>
      <c r="H1" s="66" t="s">
        <v>142</v>
      </c>
      <c r="I1" s="66"/>
      <c r="J1" s="66"/>
      <c r="K1" s="66"/>
    </row>
    <row r="2" spans="1:11" s="4" customFormat="1" ht="14.25" x14ac:dyDescent="0.2">
      <c r="A2" s="67"/>
      <c r="B2" s="5" t="s">
        <v>0</v>
      </c>
      <c r="C2" s="5" t="s">
        <v>34</v>
      </c>
      <c r="D2" s="5" t="s">
        <v>0</v>
      </c>
      <c r="E2" s="5" t="s">
        <v>34</v>
      </c>
      <c r="F2" s="5" t="s">
        <v>0</v>
      </c>
      <c r="G2" s="5" t="s">
        <v>34</v>
      </c>
      <c r="H2" s="51" t="s">
        <v>0</v>
      </c>
      <c r="I2" s="51" t="s">
        <v>143</v>
      </c>
      <c r="J2" s="51" t="s">
        <v>34</v>
      </c>
      <c r="K2" s="51" t="s">
        <v>144</v>
      </c>
    </row>
    <row r="3" spans="1:11" x14ac:dyDescent="0.25">
      <c r="A3" s="1" t="s">
        <v>18</v>
      </c>
      <c r="B3" s="2">
        <v>1</v>
      </c>
      <c r="C3" s="8"/>
      <c r="E3" s="3"/>
      <c r="G3" s="3"/>
      <c r="H3" s="51">
        <f t="shared" ref="H3:H10" si="0">SUM(B3,D3,F3)</f>
        <v>1</v>
      </c>
      <c r="I3" s="6">
        <f>H3/66%</f>
        <v>1.5151515151515151</v>
      </c>
      <c r="J3" s="27"/>
    </row>
    <row r="4" spans="1:11" x14ac:dyDescent="0.25">
      <c r="A4" s="7" t="s">
        <v>21</v>
      </c>
      <c r="B4" s="2">
        <v>1</v>
      </c>
      <c r="C4" s="8">
        <v>1</v>
      </c>
      <c r="G4" s="3"/>
      <c r="H4" s="51">
        <f t="shared" si="0"/>
        <v>1</v>
      </c>
      <c r="I4" s="6">
        <f t="shared" ref="I4:I10" si="1">H4/66%</f>
        <v>1.5151515151515151</v>
      </c>
      <c r="J4" s="27">
        <f t="shared" ref="J4:J8" si="2">SUM(C4,E4,G4)</f>
        <v>1</v>
      </c>
      <c r="K4" s="6">
        <f>J4/6%</f>
        <v>16.666666666666668</v>
      </c>
    </row>
    <row r="5" spans="1:11" x14ac:dyDescent="0.25">
      <c r="A5" s="7" t="s">
        <v>23</v>
      </c>
      <c r="C5" s="8"/>
      <c r="F5" s="2">
        <v>4</v>
      </c>
      <c r="G5" s="8">
        <v>1</v>
      </c>
      <c r="H5" s="51">
        <f t="shared" si="0"/>
        <v>4</v>
      </c>
      <c r="I5" s="6">
        <f t="shared" si="1"/>
        <v>6.0606060606060606</v>
      </c>
      <c r="J5" s="27">
        <f t="shared" si="2"/>
        <v>1</v>
      </c>
      <c r="K5" s="6">
        <f t="shared" ref="K5:K8" si="3">J5/6%</f>
        <v>16.666666666666668</v>
      </c>
    </row>
    <row r="6" spans="1:11" x14ac:dyDescent="0.25">
      <c r="A6" s="7" t="s">
        <v>26</v>
      </c>
      <c r="B6" s="2">
        <v>2</v>
      </c>
      <c r="C6" s="8">
        <v>1</v>
      </c>
      <c r="E6" s="3"/>
      <c r="G6" s="3"/>
      <c r="H6" s="51">
        <f t="shared" si="0"/>
        <v>2</v>
      </c>
      <c r="I6" s="6">
        <f t="shared" si="1"/>
        <v>3.0303030303030303</v>
      </c>
      <c r="J6" s="27">
        <f t="shared" si="2"/>
        <v>1</v>
      </c>
      <c r="K6" s="6">
        <f t="shared" si="3"/>
        <v>16.666666666666668</v>
      </c>
    </row>
    <row r="7" spans="1:11" x14ac:dyDescent="0.25">
      <c r="A7" s="7" t="s">
        <v>28</v>
      </c>
      <c r="B7" s="2">
        <v>3</v>
      </c>
      <c r="C7" s="8">
        <v>1</v>
      </c>
      <c r="E7" s="3"/>
      <c r="G7" s="3"/>
      <c r="H7" s="51">
        <f t="shared" si="0"/>
        <v>3</v>
      </c>
      <c r="I7" s="6">
        <f t="shared" si="1"/>
        <v>4.545454545454545</v>
      </c>
      <c r="J7" s="27">
        <f t="shared" si="2"/>
        <v>1</v>
      </c>
      <c r="K7" s="6">
        <f t="shared" si="3"/>
        <v>16.666666666666668</v>
      </c>
    </row>
    <row r="8" spans="1:11" x14ac:dyDescent="0.25">
      <c r="A8" s="7" t="s">
        <v>29</v>
      </c>
      <c r="B8" s="2">
        <v>1</v>
      </c>
      <c r="C8" s="8">
        <v>1</v>
      </c>
      <c r="D8" s="2">
        <v>1</v>
      </c>
      <c r="E8" s="8">
        <v>1</v>
      </c>
      <c r="G8" s="3"/>
      <c r="H8" s="51">
        <f t="shared" si="0"/>
        <v>2</v>
      </c>
      <c r="I8" s="6">
        <f t="shared" si="1"/>
        <v>3.0303030303030303</v>
      </c>
      <c r="J8" s="27">
        <f t="shared" si="2"/>
        <v>2</v>
      </c>
      <c r="K8" s="6">
        <f t="shared" si="3"/>
        <v>33.333333333333336</v>
      </c>
    </row>
    <row r="9" spans="1:11" x14ac:dyDescent="0.25">
      <c r="A9" s="1" t="s">
        <v>30</v>
      </c>
      <c r="B9" s="2">
        <v>1</v>
      </c>
      <c r="C9" s="8"/>
      <c r="D9" s="2">
        <v>2</v>
      </c>
      <c r="E9" s="3"/>
      <c r="G9" s="3"/>
      <c r="H9" s="51">
        <f t="shared" si="0"/>
        <v>3</v>
      </c>
      <c r="I9" s="6">
        <f t="shared" si="1"/>
        <v>4.545454545454545</v>
      </c>
      <c r="J9" s="27"/>
    </row>
    <row r="10" spans="1:11" x14ac:dyDescent="0.25">
      <c r="A10" s="1" t="s">
        <v>32</v>
      </c>
      <c r="B10" s="2">
        <v>8</v>
      </c>
      <c r="C10" s="8"/>
      <c r="D10" s="2">
        <v>1</v>
      </c>
      <c r="E10" s="3"/>
      <c r="F10" s="2">
        <v>41</v>
      </c>
      <c r="G10" s="3"/>
      <c r="H10" s="51">
        <f t="shared" si="0"/>
        <v>50</v>
      </c>
      <c r="I10" s="6">
        <f t="shared" si="1"/>
        <v>75.757575757575751</v>
      </c>
      <c r="J10" s="27"/>
    </row>
    <row r="11" spans="1:11" s="4" customFormat="1" ht="14.25" x14ac:dyDescent="0.2">
      <c r="A11" s="4" t="s">
        <v>33</v>
      </c>
      <c r="B11" s="5">
        <f t="shared" ref="B11:K11" si="4">SUM(B1:B10)</f>
        <v>17</v>
      </c>
      <c r="C11" s="5">
        <f t="shared" si="4"/>
        <v>4</v>
      </c>
      <c r="D11" s="5">
        <f t="shared" si="4"/>
        <v>4</v>
      </c>
      <c r="E11" s="5">
        <f t="shared" si="4"/>
        <v>1</v>
      </c>
      <c r="F11" s="5">
        <f t="shared" si="4"/>
        <v>45</v>
      </c>
      <c r="G11" s="5">
        <f t="shared" si="4"/>
        <v>1</v>
      </c>
      <c r="H11" s="51">
        <f t="shared" si="4"/>
        <v>66</v>
      </c>
      <c r="I11" s="51">
        <f t="shared" si="4"/>
        <v>100</v>
      </c>
      <c r="J11" s="51">
        <f t="shared" si="4"/>
        <v>6</v>
      </c>
      <c r="K11" s="51">
        <f t="shared" si="4"/>
        <v>100</v>
      </c>
    </row>
    <row r="12" spans="1:11" x14ac:dyDescent="0.25">
      <c r="H12" s="51"/>
      <c r="I12" s="51"/>
    </row>
    <row r="15" spans="1:11" x14ac:dyDescent="0.25">
      <c r="A15" s="9"/>
    </row>
    <row r="18" spans="1:7" x14ac:dyDescent="0.25">
      <c r="B18" s="1"/>
      <c r="C18" s="1"/>
      <c r="D18" s="1"/>
      <c r="E18" s="1"/>
      <c r="F18" s="1"/>
      <c r="G18" s="1"/>
    </row>
    <row r="19" spans="1:7" x14ac:dyDescent="0.25">
      <c r="B19" s="1"/>
      <c r="C19" s="1"/>
      <c r="D19" s="1"/>
      <c r="E19" s="1"/>
      <c r="F19" s="1"/>
      <c r="G19" s="1"/>
    </row>
    <row r="20" spans="1:7" x14ac:dyDescent="0.25">
      <c r="B20" s="1"/>
      <c r="C20" s="1"/>
      <c r="D20" s="1"/>
      <c r="E20" s="1"/>
      <c r="F20" s="1"/>
      <c r="G20" s="1"/>
    </row>
    <row r="21" spans="1:7" x14ac:dyDescent="0.25">
      <c r="A21" s="7"/>
      <c r="B21" s="1"/>
      <c r="C21" s="1"/>
      <c r="D21" s="1"/>
      <c r="E21" s="1"/>
      <c r="F21" s="1"/>
      <c r="G21" s="1"/>
    </row>
    <row r="22" spans="1:7" x14ac:dyDescent="0.25">
      <c r="A22" s="7"/>
      <c r="B22" s="1"/>
      <c r="C22" s="1"/>
      <c r="D22" s="1"/>
      <c r="E22" s="1"/>
      <c r="F22" s="1"/>
      <c r="G22" s="1"/>
    </row>
    <row r="23" spans="1:7" x14ac:dyDescent="0.25">
      <c r="A23" s="7"/>
      <c r="B23" s="1"/>
      <c r="C23" s="1"/>
      <c r="D23" s="1"/>
      <c r="E23" s="1"/>
      <c r="F23" s="1"/>
      <c r="G23" s="1"/>
    </row>
    <row r="24" spans="1:7" x14ac:dyDescent="0.25">
      <c r="B24" s="1"/>
      <c r="C24" s="1"/>
      <c r="D24" s="1"/>
      <c r="E24" s="1"/>
      <c r="F24" s="1"/>
      <c r="G24" s="1"/>
    </row>
    <row r="25" spans="1:7" x14ac:dyDescent="0.25">
      <c r="B25" s="1"/>
      <c r="C25" s="1"/>
      <c r="D25" s="1"/>
      <c r="E25" s="1"/>
      <c r="F25" s="1"/>
      <c r="G25" s="1"/>
    </row>
    <row r="28" spans="1:7" x14ac:dyDescent="0.25">
      <c r="B28" s="1"/>
      <c r="C28" s="1"/>
    </row>
    <row r="29" spans="1:7" x14ac:dyDescent="0.25">
      <c r="B29" s="1"/>
      <c r="C29" s="1"/>
    </row>
    <row r="30" spans="1:7" x14ac:dyDescent="0.25">
      <c r="B30" s="1"/>
      <c r="C30" s="1"/>
    </row>
    <row r="31" spans="1:7" x14ac:dyDescent="0.25">
      <c r="B31" s="1"/>
      <c r="C31" s="1"/>
    </row>
  </sheetData>
  <mergeCells count="5">
    <mergeCell ref="A1:A2"/>
    <mergeCell ref="B1:C1"/>
    <mergeCell ref="D1:E1"/>
    <mergeCell ref="F1:G1"/>
    <mergeCell ref="H1:K1"/>
  </mergeCells>
  <pageMargins left="0.7" right="0.7" top="0.75" bottom="0.75" header="0.3" footer="0.3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77"/>
  <sheetViews>
    <sheetView tabSelected="1" zoomScale="70" zoomScaleNormal="70" workbookViewId="0">
      <selection activeCell="I32" sqref="I32"/>
    </sheetView>
  </sheetViews>
  <sheetFormatPr defaultRowHeight="15" x14ac:dyDescent="0.25"/>
  <cols>
    <col min="1" max="1" width="24.42578125" style="23" bestFit="1" customWidth="1"/>
    <col min="2" max="9" width="7.7109375" style="21" customWidth="1"/>
    <col min="10" max="11" width="7.7109375" style="54" customWidth="1"/>
    <col min="12" max="12" width="7.7109375" style="21" customWidth="1"/>
    <col min="13" max="13" width="12" style="21" customWidth="1"/>
    <col min="14" max="49" width="7.7109375" style="21" customWidth="1"/>
    <col min="50" max="51" width="9.140625" style="21"/>
    <col min="52" max="16384" width="9.140625" style="23"/>
  </cols>
  <sheetData>
    <row r="1" spans="1:51" s="43" customFormat="1" ht="33" customHeight="1" x14ac:dyDescent="0.2">
      <c r="A1" s="73" t="s">
        <v>11</v>
      </c>
      <c r="B1" s="76" t="s">
        <v>145</v>
      </c>
      <c r="C1" s="76"/>
      <c r="D1" s="76" t="s">
        <v>146</v>
      </c>
      <c r="E1" s="76"/>
      <c r="F1" s="76" t="s">
        <v>147</v>
      </c>
      <c r="G1" s="76"/>
      <c r="H1" s="76" t="s">
        <v>148</v>
      </c>
      <c r="I1" s="76"/>
      <c r="J1" s="76" t="s">
        <v>149</v>
      </c>
      <c r="K1" s="76"/>
      <c r="M1" s="73"/>
      <c r="N1" s="75"/>
      <c r="O1" s="75"/>
    </row>
    <row r="2" spans="1:51" s="43" customFormat="1" x14ac:dyDescent="0.25">
      <c r="A2" s="73"/>
      <c r="B2" s="35" t="s">
        <v>0</v>
      </c>
      <c r="C2" s="35" t="s">
        <v>1</v>
      </c>
      <c r="D2" s="35" t="s">
        <v>0</v>
      </c>
      <c r="E2" s="48" t="s">
        <v>1</v>
      </c>
      <c r="F2" s="21" t="s">
        <v>0</v>
      </c>
      <c r="G2" s="26" t="s">
        <v>1</v>
      </c>
      <c r="H2" s="35" t="s">
        <v>0</v>
      </c>
      <c r="I2" s="35" t="s">
        <v>1</v>
      </c>
      <c r="J2" s="54" t="s">
        <v>0</v>
      </c>
      <c r="K2" s="54" t="s">
        <v>1</v>
      </c>
      <c r="M2" s="73"/>
      <c r="N2" s="35"/>
      <c r="O2" s="35"/>
    </row>
    <row r="3" spans="1:51" x14ac:dyDescent="0.25">
      <c r="A3" s="23" t="s">
        <v>13</v>
      </c>
      <c r="D3" s="21">
        <v>9</v>
      </c>
      <c r="E3" s="38">
        <f>D3/773%</f>
        <v>1.1642949547218628</v>
      </c>
      <c r="F3" s="21">
        <v>12</v>
      </c>
      <c r="G3" s="38">
        <f>F3/821%</f>
        <v>1.4616321559074299</v>
      </c>
      <c r="H3" s="21">
        <v>20</v>
      </c>
      <c r="I3" s="26">
        <f>H3/H33</f>
        <v>8.7298123090353563E-3</v>
      </c>
      <c r="J3" s="54">
        <f>SUM(B3,D3,F3,H3)</f>
        <v>41</v>
      </c>
      <c r="K3" s="62">
        <f t="shared" ref="K3:K31" si="0">J3/3891%</f>
        <v>1.0537136982780777</v>
      </c>
      <c r="L3" s="23"/>
      <c r="M3" s="23"/>
      <c r="N3" s="44"/>
      <c r="O3" s="26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</row>
    <row r="4" spans="1:51" x14ac:dyDescent="0.25">
      <c r="A4" s="23" t="s">
        <v>14</v>
      </c>
      <c r="D4" s="21">
        <v>2</v>
      </c>
      <c r="E4" s="38">
        <f t="shared" ref="E4:E32" si="1">D4/773%</f>
        <v>0.25873221216041398</v>
      </c>
      <c r="G4" s="38"/>
      <c r="H4" s="21">
        <v>4</v>
      </c>
      <c r="I4" s="26">
        <f>H4/H33</f>
        <v>1.7459624618070711E-3</v>
      </c>
      <c r="J4" s="58">
        <f t="shared" ref="J4:J33" si="2">SUM(B4,D4,F4,H4)</f>
        <v>6</v>
      </c>
      <c r="K4" s="62">
        <f t="shared" si="0"/>
        <v>0.15420200462606015</v>
      </c>
      <c r="L4" s="23"/>
      <c r="M4" s="23"/>
      <c r="N4" s="44"/>
      <c r="O4" s="26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</row>
    <row r="5" spans="1:51" x14ac:dyDescent="0.25">
      <c r="A5" s="23" t="s">
        <v>16</v>
      </c>
      <c r="D5" s="21">
        <v>3</v>
      </c>
      <c r="E5" s="38">
        <f t="shared" si="1"/>
        <v>0.38809831824062091</v>
      </c>
      <c r="F5" s="21">
        <v>7</v>
      </c>
      <c r="G5" s="38">
        <f t="shared" ref="G5:G32" si="3">F5/821%</f>
        <v>0.85261875761266737</v>
      </c>
      <c r="H5" s="21">
        <v>9</v>
      </c>
      <c r="I5" s="26">
        <f>H5/H33</f>
        <v>3.9284155390659102E-3</v>
      </c>
      <c r="J5" s="58">
        <f t="shared" si="2"/>
        <v>19</v>
      </c>
      <c r="K5" s="62">
        <f t="shared" si="0"/>
        <v>0.48830634798252381</v>
      </c>
      <c r="L5" s="23"/>
      <c r="M5" s="23"/>
      <c r="N5" s="44"/>
      <c r="O5" s="26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</row>
    <row r="6" spans="1:51" x14ac:dyDescent="0.25">
      <c r="A6" s="23" t="s">
        <v>15</v>
      </c>
      <c r="E6" s="38"/>
      <c r="F6" s="21">
        <v>1</v>
      </c>
      <c r="G6" s="38">
        <f t="shared" si="3"/>
        <v>0.12180267965895249</v>
      </c>
      <c r="H6" s="21">
        <v>1</v>
      </c>
      <c r="I6" s="26">
        <f>H6/H33</f>
        <v>4.3649061545176777E-4</v>
      </c>
      <c r="J6" s="58">
        <f t="shared" si="2"/>
        <v>2</v>
      </c>
      <c r="K6" s="62">
        <f t="shared" si="0"/>
        <v>5.1400668208686717E-2</v>
      </c>
      <c r="L6" s="23"/>
      <c r="M6" s="23"/>
      <c r="N6" s="44"/>
      <c r="O6" s="26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</row>
    <row r="7" spans="1:51" x14ac:dyDescent="0.25">
      <c r="A7" s="23" t="s">
        <v>17</v>
      </c>
      <c r="D7" s="21">
        <v>2</v>
      </c>
      <c r="E7" s="38">
        <f t="shared" si="1"/>
        <v>0.25873221216041398</v>
      </c>
      <c r="F7" s="21">
        <v>1</v>
      </c>
      <c r="G7" s="38">
        <f t="shared" si="3"/>
        <v>0.12180267965895249</v>
      </c>
      <c r="I7" s="26">
        <f>H7/H33</f>
        <v>0</v>
      </c>
      <c r="J7" s="58">
        <f t="shared" si="2"/>
        <v>3</v>
      </c>
      <c r="K7" s="62">
        <f t="shared" si="0"/>
        <v>7.7101002313030076E-2</v>
      </c>
      <c r="L7" s="23"/>
      <c r="M7" s="23"/>
      <c r="N7" s="44"/>
      <c r="O7" s="26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</row>
    <row r="8" spans="1:51" x14ac:dyDescent="0.25">
      <c r="A8" s="23" t="s">
        <v>86</v>
      </c>
      <c r="E8" s="38"/>
      <c r="F8" s="21">
        <v>1</v>
      </c>
      <c r="G8" s="38">
        <f t="shared" si="3"/>
        <v>0.12180267965895249</v>
      </c>
      <c r="H8" s="21">
        <v>4</v>
      </c>
      <c r="I8" s="26">
        <f>H8/H33</f>
        <v>1.7459624618070711E-3</v>
      </c>
      <c r="J8" s="58">
        <f t="shared" si="2"/>
        <v>5</v>
      </c>
      <c r="K8" s="62">
        <f t="shared" si="0"/>
        <v>0.12850167052171679</v>
      </c>
      <c r="L8" s="23"/>
      <c r="M8" s="23"/>
      <c r="N8" s="44"/>
      <c r="O8" s="26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</row>
    <row r="9" spans="1:51" x14ac:dyDescent="0.25">
      <c r="A9" s="23" t="s">
        <v>18</v>
      </c>
      <c r="D9" s="21">
        <v>13</v>
      </c>
      <c r="E9" s="38">
        <f t="shared" si="1"/>
        <v>1.6817593790426908</v>
      </c>
      <c r="F9" s="21">
        <v>6</v>
      </c>
      <c r="G9" s="38">
        <f t="shared" si="3"/>
        <v>0.73081607795371495</v>
      </c>
      <c r="H9" s="21">
        <v>37</v>
      </c>
      <c r="I9" s="26">
        <f>H9/H33</f>
        <v>1.6150152771715408E-2</v>
      </c>
      <c r="J9" s="58">
        <f t="shared" si="2"/>
        <v>56</v>
      </c>
      <c r="K9" s="62">
        <f t="shared" si="0"/>
        <v>1.4392187098432281</v>
      </c>
      <c r="L9" s="23"/>
      <c r="M9" s="37"/>
      <c r="N9" s="44"/>
      <c r="O9" s="26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</row>
    <row r="10" spans="1:51" x14ac:dyDescent="0.25">
      <c r="A10" s="37" t="s">
        <v>150</v>
      </c>
      <c r="B10" s="45"/>
      <c r="C10" s="45"/>
      <c r="E10" s="38"/>
      <c r="G10" s="38"/>
      <c r="H10" s="21">
        <v>2</v>
      </c>
      <c r="I10" s="26">
        <f>H10/H33</f>
        <v>8.7298123090353555E-4</v>
      </c>
      <c r="J10" s="58">
        <f t="shared" si="2"/>
        <v>2</v>
      </c>
      <c r="K10" s="62">
        <f t="shared" si="0"/>
        <v>5.1400668208686717E-2</v>
      </c>
      <c r="L10" s="23"/>
      <c r="M10" s="37"/>
      <c r="N10" s="44"/>
      <c r="O10" s="26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</row>
    <row r="11" spans="1:51" x14ac:dyDescent="0.25">
      <c r="A11" s="37" t="s">
        <v>151</v>
      </c>
      <c r="B11" s="45"/>
      <c r="C11" s="45"/>
      <c r="E11" s="38"/>
      <c r="G11" s="38"/>
      <c r="H11" s="21">
        <v>1</v>
      </c>
      <c r="I11" s="26">
        <f>H11/H33</f>
        <v>4.3649061545176777E-4</v>
      </c>
      <c r="J11" s="58">
        <f t="shared" si="2"/>
        <v>1</v>
      </c>
      <c r="K11" s="62">
        <f t="shared" si="0"/>
        <v>2.5700334104343359E-2</v>
      </c>
      <c r="L11" s="23"/>
      <c r="M11" s="37"/>
      <c r="N11" s="44"/>
      <c r="O11" s="26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</row>
    <row r="12" spans="1:51" x14ac:dyDescent="0.25">
      <c r="A12" s="37" t="s">
        <v>19</v>
      </c>
      <c r="B12" s="45"/>
      <c r="C12" s="45"/>
      <c r="D12" s="21">
        <v>1</v>
      </c>
      <c r="E12" s="38">
        <f t="shared" si="1"/>
        <v>0.12936610608020699</v>
      </c>
      <c r="G12" s="38"/>
      <c r="H12" s="21">
        <v>1</v>
      </c>
      <c r="I12" s="26">
        <f>H12/H33</f>
        <v>4.3649061545176777E-4</v>
      </c>
      <c r="J12" s="58">
        <f t="shared" si="2"/>
        <v>2</v>
      </c>
      <c r="K12" s="62">
        <f t="shared" si="0"/>
        <v>5.1400668208686717E-2</v>
      </c>
      <c r="L12" s="23"/>
      <c r="M12" s="37"/>
      <c r="N12" s="44"/>
      <c r="O12" s="26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</row>
    <row r="13" spans="1:51" x14ac:dyDescent="0.25">
      <c r="A13" s="37" t="s">
        <v>132</v>
      </c>
      <c r="B13" s="45"/>
      <c r="C13" s="45"/>
      <c r="E13" s="38"/>
      <c r="G13" s="38"/>
      <c r="H13" s="21">
        <v>1</v>
      </c>
      <c r="I13" s="26">
        <f>H13/H33</f>
        <v>4.3649061545176777E-4</v>
      </c>
      <c r="J13" s="58">
        <f t="shared" si="2"/>
        <v>1</v>
      </c>
      <c r="K13" s="62">
        <f t="shared" si="0"/>
        <v>2.5700334104343359E-2</v>
      </c>
      <c r="L13" s="23"/>
      <c r="M13" s="37"/>
      <c r="N13" s="44"/>
      <c r="O13" s="26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</row>
    <row r="14" spans="1:51" x14ac:dyDescent="0.25">
      <c r="A14" s="37" t="s">
        <v>20</v>
      </c>
      <c r="B14" s="45"/>
      <c r="C14" s="45"/>
      <c r="D14" s="21">
        <v>1</v>
      </c>
      <c r="E14" s="38">
        <f t="shared" si="1"/>
        <v>0.12936610608020699</v>
      </c>
      <c r="F14" s="21">
        <v>1</v>
      </c>
      <c r="G14" s="38">
        <f t="shared" si="3"/>
        <v>0.12180267965895249</v>
      </c>
      <c r="I14" s="26">
        <f>H14/H33</f>
        <v>0</v>
      </c>
      <c r="J14" s="58">
        <f t="shared" si="2"/>
        <v>2</v>
      </c>
      <c r="K14" s="62">
        <f t="shared" si="0"/>
        <v>5.1400668208686717E-2</v>
      </c>
      <c r="L14" s="23"/>
      <c r="M14" s="23"/>
      <c r="N14" s="44"/>
      <c r="O14" s="26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</row>
    <row r="15" spans="1:51" x14ac:dyDescent="0.25">
      <c r="A15" s="23" t="s">
        <v>87</v>
      </c>
      <c r="E15" s="38"/>
      <c r="F15" s="21">
        <v>2</v>
      </c>
      <c r="G15" s="38">
        <f t="shared" si="3"/>
        <v>0.24360535931790497</v>
      </c>
      <c r="I15" s="26">
        <f>H15/H33</f>
        <v>0</v>
      </c>
      <c r="J15" s="58">
        <f t="shared" si="2"/>
        <v>2</v>
      </c>
      <c r="K15" s="62">
        <f t="shared" si="0"/>
        <v>5.1400668208686717E-2</v>
      </c>
      <c r="L15" s="23"/>
      <c r="M15" s="37"/>
      <c r="N15" s="44"/>
      <c r="O15" s="26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</row>
    <row r="16" spans="1:51" x14ac:dyDescent="0.25">
      <c r="A16" s="37" t="s">
        <v>21</v>
      </c>
      <c r="B16" s="45"/>
      <c r="C16" s="45"/>
      <c r="D16" s="21">
        <v>5</v>
      </c>
      <c r="E16" s="38">
        <f t="shared" si="1"/>
        <v>0.64683053040103489</v>
      </c>
      <c r="F16" s="21">
        <v>8</v>
      </c>
      <c r="G16" s="38">
        <f t="shared" si="3"/>
        <v>0.97442143727161989</v>
      </c>
      <c r="H16" s="21">
        <v>26</v>
      </c>
      <c r="I16" s="26">
        <f>H16/H33</f>
        <v>1.1348756001745963E-2</v>
      </c>
      <c r="J16" s="58">
        <f t="shared" si="2"/>
        <v>39</v>
      </c>
      <c r="K16" s="62">
        <f t="shared" si="0"/>
        <v>1.002313030069391</v>
      </c>
      <c r="L16" s="23"/>
      <c r="M16" s="37"/>
      <c r="N16" s="44"/>
      <c r="O16" s="26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</row>
    <row r="17" spans="1:51" x14ac:dyDescent="0.25">
      <c r="A17" s="23" t="s">
        <v>22</v>
      </c>
      <c r="D17" s="21">
        <v>17</v>
      </c>
      <c r="E17" s="38">
        <f t="shared" si="1"/>
        <v>2.1992238033635187</v>
      </c>
      <c r="F17" s="21">
        <v>5</v>
      </c>
      <c r="G17" s="38">
        <f t="shared" si="3"/>
        <v>0.60901339829476242</v>
      </c>
      <c r="H17" s="21">
        <v>41</v>
      </c>
      <c r="I17" s="26">
        <f>H17/H33</f>
        <v>1.789611523352248E-2</v>
      </c>
      <c r="J17" s="58">
        <f t="shared" si="2"/>
        <v>63</v>
      </c>
      <c r="K17" s="62">
        <f t="shared" si="0"/>
        <v>1.6191210485736316</v>
      </c>
      <c r="L17" s="23"/>
      <c r="M17" s="37"/>
      <c r="N17" s="44"/>
      <c r="O17" s="26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</row>
    <row r="18" spans="1:51" x14ac:dyDescent="0.25">
      <c r="A18" s="23" t="s">
        <v>88</v>
      </c>
      <c r="E18" s="38"/>
      <c r="F18" s="21">
        <v>1</v>
      </c>
      <c r="G18" s="38">
        <f t="shared" si="3"/>
        <v>0.12180267965895249</v>
      </c>
      <c r="I18" s="26">
        <f>H18/H33</f>
        <v>0</v>
      </c>
      <c r="J18" s="58">
        <f t="shared" si="2"/>
        <v>1</v>
      </c>
      <c r="K18" s="62">
        <f t="shared" si="0"/>
        <v>2.5700334104343359E-2</v>
      </c>
      <c r="L18" s="23"/>
      <c r="M18" s="37"/>
      <c r="N18" s="44"/>
      <c r="O18" s="26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</row>
    <row r="19" spans="1:51" x14ac:dyDescent="0.25">
      <c r="A19" s="37" t="s">
        <v>23</v>
      </c>
      <c r="B19" s="45"/>
      <c r="C19" s="45"/>
      <c r="D19" s="21">
        <v>1</v>
      </c>
      <c r="E19" s="38">
        <f t="shared" si="1"/>
        <v>0.12936610608020699</v>
      </c>
      <c r="G19" s="38"/>
      <c r="H19" s="21">
        <v>10</v>
      </c>
      <c r="I19" s="26">
        <f>H19/H33</f>
        <v>4.3649061545176782E-3</v>
      </c>
      <c r="J19" s="58">
        <f t="shared" si="2"/>
        <v>11</v>
      </c>
      <c r="K19" s="62">
        <f t="shared" si="0"/>
        <v>0.28270367514777694</v>
      </c>
      <c r="L19" s="23"/>
      <c r="M19" s="37"/>
      <c r="N19" s="44"/>
      <c r="O19" s="26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</row>
    <row r="20" spans="1:51" x14ac:dyDescent="0.25">
      <c r="A20" s="37" t="s">
        <v>133</v>
      </c>
      <c r="B20" s="45"/>
      <c r="C20" s="45"/>
      <c r="E20" s="38"/>
      <c r="G20" s="38"/>
      <c r="H20" s="21">
        <v>2</v>
      </c>
      <c r="I20" s="26">
        <f>H20/H33</f>
        <v>8.7298123090353555E-4</v>
      </c>
      <c r="J20" s="58">
        <f t="shared" si="2"/>
        <v>2</v>
      </c>
      <c r="K20" s="62">
        <f t="shared" si="0"/>
        <v>5.1400668208686717E-2</v>
      </c>
      <c r="L20" s="23"/>
      <c r="M20" s="37"/>
      <c r="N20" s="44"/>
      <c r="O20" s="26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</row>
    <row r="21" spans="1:51" x14ac:dyDescent="0.25">
      <c r="A21" s="37" t="s">
        <v>24</v>
      </c>
      <c r="B21" s="45"/>
      <c r="C21" s="45"/>
      <c r="D21" s="21">
        <v>4</v>
      </c>
      <c r="E21" s="38">
        <f t="shared" si="1"/>
        <v>0.51746442432082795</v>
      </c>
      <c r="G21" s="38"/>
      <c r="H21" s="21">
        <v>36</v>
      </c>
      <c r="I21" s="26">
        <f>H21/H33</f>
        <v>1.5713662156263641E-2</v>
      </c>
      <c r="J21" s="58">
        <f t="shared" si="2"/>
        <v>40</v>
      </c>
      <c r="K21" s="62">
        <f t="shared" si="0"/>
        <v>1.0280133641737343</v>
      </c>
      <c r="L21" s="23"/>
      <c r="M21" s="37"/>
      <c r="N21" s="44"/>
      <c r="O21" s="26"/>
      <c r="P21" s="43"/>
      <c r="Q21" s="43"/>
      <c r="R21" s="43"/>
      <c r="S21" s="43"/>
      <c r="T21" s="43"/>
      <c r="U21" s="4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</row>
    <row r="22" spans="1:51" x14ac:dyDescent="0.25">
      <c r="A22" s="37" t="s">
        <v>134</v>
      </c>
      <c r="B22" s="45"/>
      <c r="C22" s="45"/>
      <c r="E22" s="38"/>
      <c r="G22" s="38"/>
      <c r="H22" s="21">
        <v>1</v>
      </c>
      <c r="I22" s="26">
        <f>H22/H33</f>
        <v>4.3649061545176777E-4</v>
      </c>
      <c r="J22" s="58">
        <f t="shared" si="2"/>
        <v>1</v>
      </c>
      <c r="K22" s="62">
        <f t="shared" si="0"/>
        <v>2.5700334104343359E-2</v>
      </c>
      <c r="L22" s="23"/>
      <c r="M22" s="37"/>
      <c r="N22" s="44"/>
      <c r="O22" s="26"/>
      <c r="U22" s="4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</row>
    <row r="23" spans="1:51" x14ac:dyDescent="0.25">
      <c r="A23" s="37" t="s">
        <v>25</v>
      </c>
      <c r="B23" s="45"/>
      <c r="C23" s="45"/>
      <c r="D23" s="21">
        <v>2</v>
      </c>
      <c r="E23" s="38">
        <f t="shared" si="1"/>
        <v>0.25873221216041398</v>
      </c>
      <c r="F23" s="21">
        <v>1</v>
      </c>
      <c r="G23" s="38">
        <f t="shared" si="3"/>
        <v>0.12180267965895249</v>
      </c>
      <c r="H23" s="21">
        <v>5</v>
      </c>
      <c r="I23" s="26">
        <f>H23/H33</f>
        <v>2.1824530772588391E-3</v>
      </c>
      <c r="J23" s="58">
        <f t="shared" si="2"/>
        <v>8</v>
      </c>
      <c r="K23" s="62">
        <f t="shared" si="0"/>
        <v>0.20560267283474687</v>
      </c>
      <c r="L23" s="23"/>
      <c r="M23" s="37"/>
      <c r="N23" s="44"/>
      <c r="O23" s="26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</row>
    <row r="24" spans="1:51" x14ac:dyDescent="0.25">
      <c r="A24" s="37" t="s">
        <v>26</v>
      </c>
      <c r="B24" s="45"/>
      <c r="C24" s="45"/>
      <c r="D24" s="21">
        <v>67</v>
      </c>
      <c r="E24" s="38">
        <f t="shared" si="1"/>
        <v>8.6675291073738681</v>
      </c>
      <c r="F24" s="21">
        <v>129</v>
      </c>
      <c r="G24" s="38">
        <f t="shared" si="3"/>
        <v>15.71254567600487</v>
      </c>
      <c r="H24" s="21">
        <v>268</v>
      </c>
      <c r="I24" s="26">
        <f>H24/H33</f>
        <v>0.11697948494107377</v>
      </c>
      <c r="J24" s="58">
        <f t="shared" si="2"/>
        <v>464</v>
      </c>
      <c r="K24" s="62">
        <f t="shared" si="0"/>
        <v>11.924955024415318</v>
      </c>
      <c r="L24" s="23"/>
      <c r="M24" s="37"/>
      <c r="N24" s="44"/>
      <c r="O24" s="26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</row>
    <row r="25" spans="1:51" x14ac:dyDescent="0.25">
      <c r="A25" s="37" t="s">
        <v>135</v>
      </c>
      <c r="B25" s="45"/>
      <c r="C25" s="45"/>
      <c r="E25" s="38"/>
      <c r="G25" s="38"/>
      <c r="H25" s="21">
        <v>1</v>
      </c>
      <c r="I25" s="26">
        <f>H25/H33</f>
        <v>4.3649061545176777E-4</v>
      </c>
      <c r="J25" s="58">
        <f t="shared" si="2"/>
        <v>1</v>
      </c>
      <c r="K25" s="62">
        <f t="shared" si="0"/>
        <v>2.5700334104343359E-2</v>
      </c>
      <c r="L25" s="23"/>
      <c r="M25" s="23"/>
      <c r="N25" s="44"/>
      <c r="O25" s="26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</row>
    <row r="26" spans="1:51" x14ac:dyDescent="0.25">
      <c r="A26" s="37" t="s">
        <v>27</v>
      </c>
      <c r="B26" s="45"/>
      <c r="C26" s="45"/>
      <c r="D26" s="21">
        <v>1</v>
      </c>
      <c r="E26" s="38">
        <f t="shared" si="1"/>
        <v>0.12936610608020699</v>
      </c>
      <c r="F26" s="21">
        <v>1</v>
      </c>
      <c r="G26" s="38">
        <f t="shared" si="3"/>
        <v>0.12180267965895249</v>
      </c>
      <c r="H26" s="21">
        <v>3</v>
      </c>
      <c r="I26" s="26">
        <f>H26/H33</f>
        <v>1.3094718463553033E-3</v>
      </c>
      <c r="J26" s="58">
        <f t="shared" si="2"/>
        <v>5</v>
      </c>
      <c r="K26" s="62">
        <f t="shared" si="0"/>
        <v>0.12850167052171679</v>
      </c>
      <c r="L26" s="23"/>
      <c r="M26" s="23"/>
      <c r="N26" s="44"/>
      <c r="O26" s="26"/>
      <c r="P26" s="23"/>
      <c r="Q26" s="23"/>
      <c r="R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</row>
    <row r="27" spans="1:51" x14ac:dyDescent="0.25">
      <c r="A27" s="37" t="s">
        <v>28</v>
      </c>
      <c r="B27" s="45"/>
      <c r="C27" s="45"/>
      <c r="D27" s="21">
        <v>54</v>
      </c>
      <c r="E27" s="38">
        <f t="shared" si="1"/>
        <v>6.985769728331177</v>
      </c>
      <c r="F27" s="21">
        <v>107</v>
      </c>
      <c r="G27" s="38">
        <f t="shared" si="3"/>
        <v>13.032886723507916</v>
      </c>
      <c r="H27" s="21">
        <v>192</v>
      </c>
      <c r="I27" s="26">
        <f>H27/H33</f>
        <v>8.3806198166739412E-2</v>
      </c>
      <c r="J27" s="58">
        <f t="shared" si="2"/>
        <v>353</v>
      </c>
      <c r="K27" s="62">
        <f t="shared" si="0"/>
        <v>9.0722179388332052</v>
      </c>
      <c r="L27" s="23"/>
      <c r="M27" s="23"/>
      <c r="N27" s="44"/>
      <c r="O27" s="26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</row>
    <row r="28" spans="1:51" x14ac:dyDescent="0.25">
      <c r="A28" s="37" t="s">
        <v>29</v>
      </c>
      <c r="B28" s="45"/>
      <c r="C28" s="45"/>
      <c r="D28" s="21">
        <v>50</v>
      </c>
      <c r="E28" s="38">
        <f t="shared" si="1"/>
        <v>6.4683053040103493</v>
      </c>
      <c r="F28" s="21">
        <v>68</v>
      </c>
      <c r="G28" s="38">
        <f t="shared" si="3"/>
        <v>8.2825822168087697</v>
      </c>
      <c r="H28" s="21">
        <v>52</v>
      </c>
      <c r="I28" s="26">
        <f>H28/H33</f>
        <v>2.2697512003491925E-2</v>
      </c>
      <c r="J28" s="58">
        <f t="shared" si="2"/>
        <v>170</v>
      </c>
      <c r="K28" s="62">
        <f t="shared" si="0"/>
        <v>4.369056797738371</v>
      </c>
      <c r="L28" s="23"/>
      <c r="M28" s="23"/>
      <c r="N28" s="44"/>
      <c r="O28" s="26"/>
      <c r="P28" s="23"/>
      <c r="Q28" s="23"/>
      <c r="R28" s="23"/>
      <c r="S28" s="23"/>
      <c r="T28" s="23"/>
      <c r="V28" s="4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</row>
    <row r="29" spans="1:51" x14ac:dyDescent="0.25">
      <c r="A29" s="23" t="s">
        <v>89</v>
      </c>
      <c r="C29" s="38"/>
      <c r="E29" s="38"/>
      <c r="F29" s="21">
        <v>1</v>
      </c>
      <c r="G29" s="38">
        <f t="shared" si="3"/>
        <v>0.12180267965895249</v>
      </c>
      <c r="H29" s="21">
        <v>7</v>
      </c>
      <c r="I29" s="26">
        <f>H29/H33</f>
        <v>3.0554343081623746E-3</v>
      </c>
      <c r="J29" s="58">
        <f t="shared" si="2"/>
        <v>8</v>
      </c>
      <c r="K29" s="62">
        <f t="shared" si="0"/>
        <v>0.20560267283474687</v>
      </c>
      <c r="L29" s="23"/>
      <c r="M29" s="43"/>
      <c r="N29" s="35"/>
      <c r="O29" s="35"/>
      <c r="P29" s="23"/>
      <c r="Q29" s="23"/>
      <c r="R29" s="23"/>
      <c r="S29" s="23"/>
      <c r="T29" s="23"/>
      <c r="U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</row>
    <row r="30" spans="1:51" x14ac:dyDescent="0.25">
      <c r="A30" s="23" t="s">
        <v>30</v>
      </c>
      <c r="B30" s="21">
        <v>1</v>
      </c>
      <c r="C30" s="38">
        <f>B30/6%</f>
        <v>16.666666666666668</v>
      </c>
      <c r="D30" s="21">
        <v>41</v>
      </c>
      <c r="E30" s="38">
        <f t="shared" si="1"/>
        <v>5.304010349288486</v>
      </c>
      <c r="F30" s="21">
        <v>31</v>
      </c>
      <c r="G30" s="38">
        <f t="shared" si="3"/>
        <v>3.7758830694275272</v>
      </c>
      <c r="H30" s="21">
        <v>105</v>
      </c>
      <c r="I30" s="26">
        <f>H30/H33</f>
        <v>4.5831514622435621E-2</v>
      </c>
      <c r="J30" s="58">
        <f t="shared" si="2"/>
        <v>178</v>
      </c>
      <c r="K30" s="62">
        <f t="shared" si="0"/>
        <v>4.5746594705731178</v>
      </c>
      <c r="L30" s="23"/>
      <c r="M30" s="23"/>
      <c r="N30" s="23"/>
      <c r="O30" s="23"/>
      <c r="P30" s="23"/>
      <c r="Q30" s="23"/>
      <c r="R30" s="23"/>
      <c r="S30" s="23"/>
      <c r="T30" s="23"/>
      <c r="U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</row>
    <row r="31" spans="1:51" x14ac:dyDescent="0.25">
      <c r="A31" s="23" t="s">
        <v>31</v>
      </c>
      <c r="C31" s="38"/>
      <c r="D31" s="21">
        <v>8</v>
      </c>
      <c r="E31" s="38">
        <f t="shared" si="1"/>
        <v>1.0349288486416559</v>
      </c>
      <c r="F31" s="21">
        <v>9</v>
      </c>
      <c r="G31" s="38">
        <f t="shared" si="3"/>
        <v>1.0962241169305724</v>
      </c>
      <c r="H31" s="21">
        <v>16</v>
      </c>
      <c r="I31" s="26">
        <f>H31/H33</f>
        <v>6.9838498472282844E-3</v>
      </c>
      <c r="J31" s="58">
        <f t="shared" si="2"/>
        <v>33</v>
      </c>
      <c r="K31" s="62">
        <f t="shared" si="0"/>
        <v>0.84811102544333083</v>
      </c>
      <c r="L31" s="23"/>
      <c r="M31" s="23"/>
      <c r="N31" s="23"/>
      <c r="O31" s="23"/>
      <c r="P31" s="23"/>
      <c r="Q31" s="23"/>
      <c r="R31" s="23"/>
      <c r="S31" s="23"/>
      <c r="T31" s="23"/>
      <c r="U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</row>
    <row r="32" spans="1:51" x14ac:dyDescent="0.25">
      <c r="A32" s="23" t="s">
        <v>32</v>
      </c>
      <c r="B32" s="21">
        <v>5</v>
      </c>
      <c r="C32" s="38">
        <f t="shared" ref="C32" si="4">B32/6%</f>
        <v>83.333333333333343</v>
      </c>
      <c r="D32" s="21">
        <v>492</v>
      </c>
      <c r="E32" s="38">
        <f t="shared" si="1"/>
        <v>63.648124191461832</v>
      </c>
      <c r="F32" s="21">
        <v>429</v>
      </c>
      <c r="G32" s="38">
        <f t="shared" si="3"/>
        <v>52.253349573690613</v>
      </c>
      <c r="H32" s="21">
        <f>1396+50</f>
        <v>1446</v>
      </c>
      <c r="I32" s="26">
        <f>H32/H33</f>
        <v>0.6311654299432562</v>
      </c>
      <c r="J32" s="58">
        <f t="shared" si="2"/>
        <v>2372</v>
      </c>
      <c r="K32" s="62">
        <f>J32/3891%</f>
        <v>60.961192495502445</v>
      </c>
      <c r="L32" s="23"/>
      <c r="M32" s="23"/>
      <c r="N32" s="23"/>
      <c r="O32" s="23"/>
      <c r="P32" s="23"/>
      <c r="Q32" s="23"/>
      <c r="R32" s="23"/>
      <c r="S32" s="23"/>
      <c r="T32" s="23"/>
      <c r="U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</row>
    <row r="33" spans="1:51" s="43" customFormat="1" x14ac:dyDescent="0.25">
      <c r="A33" s="43" t="s">
        <v>33</v>
      </c>
      <c r="B33" s="35">
        <f t="shared" ref="B33:H33" si="5">SUM(B2:B32)</f>
        <v>6</v>
      </c>
      <c r="C33" s="35">
        <f t="shared" si="5"/>
        <v>100.00000000000001</v>
      </c>
      <c r="D33" s="35">
        <f t="shared" si="5"/>
        <v>773</v>
      </c>
      <c r="E33" s="35">
        <f t="shared" si="5"/>
        <v>100</v>
      </c>
      <c r="F33" s="35">
        <f t="shared" si="5"/>
        <v>821</v>
      </c>
      <c r="G33" s="35">
        <f t="shared" si="5"/>
        <v>100</v>
      </c>
      <c r="H33" s="35">
        <f t="shared" si="5"/>
        <v>2291</v>
      </c>
      <c r="I33" s="35">
        <f>SUM(I2:I32)*100</f>
        <v>100</v>
      </c>
      <c r="J33" s="58">
        <f t="shared" si="2"/>
        <v>3891</v>
      </c>
      <c r="K33" s="54">
        <f t="shared" ref="K33" si="6">SUM(K2:K32)</f>
        <v>100</v>
      </c>
      <c r="M33" s="23"/>
      <c r="N33" s="23"/>
      <c r="O33" s="23"/>
      <c r="P33" s="23"/>
      <c r="Q33" s="23"/>
      <c r="R33" s="23"/>
      <c r="S33" s="23"/>
      <c r="T33" s="23"/>
      <c r="U33" s="23"/>
      <c r="V33" s="21"/>
    </row>
    <row r="34" spans="1:51" x14ac:dyDescent="0.25">
      <c r="M34" s="23"/>
      <c r="N34" s="23"/>
      <c r="O34" s="23"/>
      <c r="P34" s="23"/>
      <c r="Q34" s="23"/>
      <c r="R34" s="23"/>
      <c r="S34" s="23"/>
      <c r="T34" s="23"/>
      <c r="U34" s="23"/>
    </row>
    <row r="35" spans="1:51" x14ac:dyDescent="0.25">
      <c r="M35" s="23"/>
      <c r="N35" s="23"/>
      <c r="O35" s="23"/>
      <c r="P35" s="23"/>
      <c r="Q35" s="23"/>
      <c r="R35" s="23"/>
      <c r="S35" s="23"/>
      <c r="T35" s="23"/>
      <c r="U35" s="23"/>
      <c r="V35" s="23"/>
    </row>
    <row r="36" spans="1:51" x14ac:dyDescent="0.25">
      <c r="M36" s="23"/>
      <c r="N36" s="23"/>
      <c r="O36" s="23"/>
      <c r="P36" s="23"/>
      <c r="Q36" s="23"/>
      <c r="R36" s="23"/>
      <c r="S36" s="23"/>
      <c r="T36" s="23"/>
      <c r="U36" s="23"/>
      <c r="V36" s="23"/>
    </row>
    <row r="37" spans="1:51" x14ac:dyDescent="0.25">
      <c r="A37" s="46"/>
      <c r="B37" s="38"/>
      <c r="C37" s="38"/>
      <c r="M37" s="23"/>
      <c r="N37" s="23"/>
      <c r="O37" s="23"/>
      <c r="P37" s="23"/>
      <c r="Q37" s="23"/>
      <c r="R37" s="23"/>
      <c r="S37" s="23"/>
      <c r="T37" s="23"/>
      <c r="U37" s="23"/>
      <c r="V37" s="23"/>
    </row>
    <row r="38" spans="1:51" x14ac:dyDescent="0.25">
      <c r="M38" s="23"/>
      <c r="N38" s="23"/>
      <c r="O38" s="23"/>
      <c r="P38" s="23"/>
      <c r="Q38" s="23"/>
      <c r="R38" s="23"/>
      <c r="S38" s="23"/>
      <c r="T38" s="23"/>
      <c r="U38" s="23"/>
      <c r="V38" s="23"/>
    </row>
    <row r="39" spans="1:51" x14ac:dyDescent="0.25">
      <c r="U39" s="23"/>
      <c r="V39" s="23"/>
    </row>
    <row r="40" spans="1:51" x14ac:dyDescent="0.25">
      <c r="J40" s="43"/>
      <c r="K40" s="43"/>
      <c r="L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</row>
    <row r="41" spans="1:51" x14ac:dyDescent="0.25">
      <c r="J41" s="43"/>
      <c r="K41" s="43"/>
      <c r="L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</row>
    <row r="42" spans="1:51" x14ac:dyDescent="0.25">
      <c r="A42" s="73"/>
      <c r="B42" s="47"/>
      <c r="C42" s="47"/>
      <c r="J42" s="43"/>
      <c r="K42" s="43"/>
      <c r="L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</row>
    <row r="43" spans="1:51" x14ac:dyDescent="0.25">
      <c r="A43" s="73"/>
      <c r="B43" s="47"/>
      <c r="C43" s="47"/>
      <c r="J43" s="43"/>
      <c r="K43" s="43"/>
      <c r="L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</row>
    <row r="44" spans="1:51" x14ac:dyDescent="0.25">
      <c r="J44" s="43"/>
      <c r="K44" s="43"/>
      <c r="L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</row>
    <row r="45" spans="1:51" x14ac:dyDescent="0.25">
      <c r="J45" s="43"/>
      <c r="K45" s="4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V45" s="23"/>
      <c r="AW45" s="23"/>
      <c r="AX45" s="23"/>
      <c r="AY45" s="23"/>
    </row>
    <row r="46" spans="1:51" x14ac:dyDescent="0.25">
      <c r="J46" s="43"/>
      <c r="K46" s="4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V46" s="23"/>
      <c r="AW46" s="23"/>
      <c r="AX46" s="23"/>
      <c r="AY46" s="23"/>
    </row>
    <row r="47" spans="1:51" x14ac:dyDescent="0.25">
      <c r="B47" s="45"/>
      <c r="C47" s="45"/>
      <c r="J47" s="43"/>
      <c r="K47" s="4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V47" s="23"/>
      <c r="AW47" s="23"/>
      <c r="AX47" s="23"/>
      <c r="AY47" s="23"/>
    </row>
    <row r="48" spans="1:51" x14ac:dyDescent="0.25">
      <c r="J48" s="43"/>
      <c r="K48" s="4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V48" s="23"/>
      <c r="AW48" s="23"/>
      <c r="AX48" s="23"/>
      <c r="AY48" s="23"/>
    </row>
    <row r="49" spans="1:51" x14ac:dyDescent="0.25">
      <c r="B49" s="23"/>
      <c r="J49" s="43"/>
      <c r="K49" s="4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V49" s="23"/>
      <c r="AW49" s="23"/>
      <c r="AX49" s="23"/>
      <c r="AY49" s="23"/>
    </row>
    <row r="50" spans="1:51" x14ac:dyDescent="0.25">
      <c r="J50" s="43"/>
      <c r="K50" s="4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V50" s="23"/>
      <c r="AW50" s="23"/>
      <c r="AX50" s="23"/>
      <c r="AY50" s="23"/>
    </row>
    <row r="51" spans="1:51" x14ac:dyDescent="0.25">
      <c r="AV51" s="23"/>
      <c r="AW51" s="23"/>
      <c r="AX51" s="23"/>
      <c r="AY51" s="23"/>
    </row>
    <row r="52" spans="1:51" x14ac:dyDescent="0.25">
      <c r="AV52" s="23"/>
      <c r="AW52" s="23"/>
      <c r="AX52" s="23"/>
      <c r="AY52" s="23"/>
    </row>
    <row r="53" spans="1:51" x14ac:dyDescent="0.25">
      <c r="A53" s="37"/>
      <c r="B53" s="45"/>
      <c r="C53" s="45"/>
      <c r="AV53" s="23"/>
      <c r="AW53" s="23"/>
      <c r="AX53" s="23"/>
      <c r="AY53" s="23"/>
    </row>
    <row r="54" spans="1:51" x14ac:dyDescent="0.25">
      <c r="A54" s="37"/>
      <c r="B54" s="45"/>
      <c r="C54" s="45"/>
      <c r="AV54" s="23"/>
      <c r="AW54" s="23"/>
      <c r="AX54" s="23"/>
      <c r="AY54" s="23"/>
    </row>
    <row r="55" spans="1:51" x14ac:dyDescent="0.25">
      <c r="A55" s="37"/>
      <c r="B55" s="45"/>
      <c r="C55" s="45"/>
      <c r="AV55" s="23"/>
      <c r="AW55" s="23"/>
      <c r="AX55" s="23"/>
      <c r="AY55" s="23"/>
    </row>
    <row r="56" spans="1:51" x14ac:dyDescent="0.25">
      <c r="A56" s="37"/>
      <c r="B56" s="45"/>
      <c r="C56" s="45"/>
      <c r="AV56" s="23"/>
      <c r="AW56" s="23"/>
      <c r="AX56" s="23"/>
      <c r="AY56" s="23"/>
    </row>
    <row r="57" spans="1:51" x14ac:dyDescent="0.25">
      <c r="A57" s="37"/>
      <c r="B57" s="45"/>
      <c r="C57" s="45"/>
      <c r="AV57" s="23"/>
      <c r="AW57" s="23"/>
      <c r="AX57" s="23"/>
      <c r="AY57" s="23"/>
    </row>
    <row r="58" spans="1:51" x14ac:dyDescent="0.25">
      <c r="A58" s="37"/>
      <c r="B58" s="45"/>
      <c r="C58" s="45"/>
      <c r="AV58" s="23"/>
      <c r="AW58" s="23"/>
      <c r="AX58" s="23"/>
      <c r="AY58" s="23"/>
    </row>
    <row r="59" spans="1:51" x14ac:dyDescent="0.25">
      <c r="A59" s="37"/>
      <c r="B59" s="45"/>
      <c r="C59" s="45"/>
      <c r="AV59" s="23"/>
      <c r="AW59" s="23"/>
      <c r="AX59" s="23"/>
      <c r="AY59" s="23"/>
    </row>
    <row r="60" spans="1:51" x14ac:dyDescent="0.25">
      <c r="A60" s="37"/>
      <c r="B60" s="45"/>
      <c r="C60" s="45"/>
      <c r="AV60" s="23"/>
      <c r="AW60" s="23"/>
      <c r="AX60" s="23"/>
      <c r="AY60" s="23"/>
    </row>
    <row r="61" spans="1:51" x14ac:dyDescent="0.25">
      <c r="AV61" s="23"/>
      <c r="AW61" s="23"/>
      <c r="AX61" s="23"/>
      <c r="AY61" s="23"/>
    </row>
    <row r="62" spans="1:51" x14ac:dyDescent="0.25">
      <c r="AV62" s="23"/>
      <c r="AW62" s="23"/>
      <c r="AX62" s="23"/>
      <c r="AY62" s="23"/>
    </row>
    <row r="63" spans="1:51" x14ac:dyDescent="0.25">
      <c r="AV63" s="23"/>
      <c r="AW63" s="23"/>
      <c r="AX63" s="23"/>
      <c r="AY63" s="23"/>
    </row>
    <row r="64" spans="1:51" x14ac:dyDescent="0.25">
      <c r="AV64" s="23"/>
      <c r="AW64" s="23"/>
      <c r="AX64" s="23"/>
      <c r="AY64" s="23"/>
    </row>
    <row r="65" spans="1:51" x14ac:dyDescent="0.25">
      <c r="AV65" s="23"/>
      <c r="AW65" s="23"/>
      <c r="AX65" s="23"/>
      <c r="AY65" s="23"/>
    </row>
    <row r="66" spans="1:51" x14ac:dyDescent="0.25">
      <c r="A66" s="37"/>
      <c r="B66" s="45"/>
      <c r="C66" s="45"/>
    </row>
    <row r="67" spans="1:51" x14ac:dyDescent="0.25">
      <c r="A67" s="37"/>
      <c r="B67" s="45"/>
      <c r="C67" s="45"/>
    </row>
    <row r="68" spans="1:51" x14ac:dyDescent="0.25">
      <c r="A68" s="37"/>
      <c r="B68" s="45"/>
      <c r="C68" s="45"/>
    </row>
    <row r="69" spans="1:51" x14ac:dyDescent="0.25">
      <c r="A69" s="37"/>
      <c r="B69" s="45"/>
      <c r="C69" s="45"/>
    </row>
    <row r="74" spans="1:51" x14ac:dyDescent="0.25">
      <c r="A74" s="23" t="s">
        <v>26</v>
      </c>
      <c r="H74" s="21">
        <v>284</v>
      </c>
    </row>
    <row r="75" spans="1:51" x14ac:dyDescent="0.25">
      <c r="A75" s="23" t="s">
        <v>28</v>
      </c>
      <c r="H75" s="21">
        <v>187</v>
      </c>
    </row>
    <row r="76" spans="1:51" x14ac:dyDescent="0.25">
      <c r="A76" s="23" t="s">
        <v>29</v>
      </c>
      <c r="H76" s="21">
        <v>49</v>
      </c>
    </row>
    <row r="77" spans="1:51" x14ac:dyDescent="0.25">
      <c r="A77" s="23" t="s">
        <v>33</v>
      </c>
      <c r="H77" s="21">
        <f>SUM(H74:H76)</f>
        <v>520</v>
      </c>
    </row>
  </sheetData>
  <mergeCells count="9">
    <mergeCell ref="M1:M2"/>
    <mergeCell ref="N1:O1"/>
    <mergeCell ref="J1:K1"/>
    <mergeCell ref="A42:A43"/>
    <mergeCell ref="A1:A2"/>
    <mergeCell ref="B1:C1"/>
    <mergeCell ref="D1:E1"/>
    <mergeCell ref="F1:G1"/>
    <mergeCell ref="H1:I1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activeCell="K20" sqref="K20"/>
    </sheetView>
  </sheetViews>
  <sheetFormatPr defaultRowHeight="15" x14ac:dyDescent="0.25"/>
  <cols>
    <col min="1" max="1" width="15.140625" style="16" bestFit="1" customWidth="1"/>
    <col min="2" max="7" width="9.140625" style="2"/>
    <col min="8" max="8" width="9.140625" style="1"/>
    <col min="9" max="9" width="9.140625" style="4"/>
    <col min="10" max="16384" width="9.140625" style="1"/>
  </cols>
  <sheetData>
    <row r="1" spans="1:9" ht="18.75" x14ac:dyDescent="0.3">
      <c r="A1" s="65" t="s">
        <v>161</v>
      </c>
      <c r="B1" s="65"/>
      <c r="C1" s="65"/>
      <c r="D1" s="65"/>
      <c r="E1" s="65"/>
      <c r="F1" s="65"/>
      <c r="G1" s="65"/>
      <c r="H1" s="65"/>
      <c r="I1" s="65"/>
    </row>
    <row r="2" spans="1:9" s="13" customFormat="1" ht="28.5" x14ac:dyDescent="0.25">
      <c r="A2" s="41" t="s">
        <v>11</v>
      </c>
      <c r="B2" s="11" t="s">
        <v>75</v>
      </c>
      <c r="C2" s="12" t="s">
        <v>76</v>
      </c>
      <c r="D2" s="11" t="s">
        <v>77</v>
      </c>
      <c r="E2" s="11" t="s">
        <v>78</v>
      </c>
      <c r="F2" s="11" t="s">
        <v>79</v>
      </c>
      <c r="G2" s="12" t="s">
        <v>80</v>
      </c>
      <c r="H2" s="11" t="s">
        <v>81</v>
      </c>
      <c r="I2" s="12" t="s">
        <v>74</v>
      </c>
    </row>
    <row r="3" spans="1:9" x14ac:dyDescent="0.25">
      <c r="A3" s="14" t="s">
        <v>26</v>
      </c>
      <c r="B3" s="2">
        <v>16</v>
      </c>
      <c r="C3" s="2">
        <v>10</v>
      </c>
      <c r="D3" s="2">
        <v>7</v>
      </c>
      <c r="E3" s="15">
        <v>7</v>
      </c>
      <c r="F3" s="2">
        <v>7</v>
      </c>
      <c r="G3" s="2">
        <v>4</v>
      </c>
      <c r="H3" s="2">
        <v>11</v>
      </c>
      <c r="I3" s="51">
        <f>SUM(B3:H3)</f>
        <v>62</v>
      </c>
    </row>
    <row r="4" spans="1:9" x14ac:dyDescent="0.25">
      <c r="A4" s="14" t="s">
        <v>28</v>
      </c>
      <c r="B4" s="2">
        <v>7</v>
      </c>
      <c r="C4" s="2">
        <v>2</v>
      </c>
      <c r="D4" s="2">
        <v>2</v>
      </c>
      <c r="E4" s="2">
        <v>10</v>
      </c>
      <c r="F4" s="2">
        <v>8</v>
      </c>
      <c r="G4" s="2">
        <v>4</v>
      </c>
      <c r="H4" s="2">
        <v>8</v>
      </c>
      <c r="I4" s="51">
        <f t="shared" ref="I4:I5" si="0">SUM(B4:H4)</f>
        <v>41</v>
      </c>
    </row>
    <row r="5" spans="1:9" x14ac:dyDescent="0.25">
      <c r="A5" s="14" t="s">
        <v>29</v>
      </c>
      <c r="B5" s="2">
        <v>1</v>
      </c>
      <c r="D5" s="2">
        <v>1</v>
      </c>
      <c r="E5" s="2">
        <v>2</v>
      </c>
      <c r="F5" s="2">
        <v>1</v>
      </c>
      <c r="G5" s="2">
        <v>1</v>
      </c>
      <c r="H5" s="2">
        <v>12</v>
      </c>
      <c r="I5" s="51">
        <f t="shared" si="0"/>
        <v>18</v>
      </c>
    </row>
    <row r="6" spans="1:9" x14ac:dyDescent="0.25">
      <c r="I6" s="51"/>
    </row>
  </sheetData>
  <mergeCells count="1">
    <mergeCell ref="A1:I1"/>
  </mergeCells>
  <pageMargins left="0.7" right="0.7" top="0.75" bottom="0.75" header="0.3" footer="0.3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zoomScale="70" zoomScaleNormal="70" workbookViewId="0">
      <selection activeCell="K38" sqref="K38"/>
    </sheetView>
  </sheetViews>
  <sheetFormatPr defaultRowHeight="15" x14ac:dyDescent="0.25"/>
  <cols>
    <col min="1" max="1" width="24.42578125" bestFit="1" customWidth="1"/>
    <col min="2" max="9" width="10.7109375" style="17" customWidth="1"/>
    <col min="10" max="11" width="10.7109375" style="53" customWidth="1"/>
    <col min="12" max="13" width="12.85546875" style="19" customWidth="1"/>
    <col min="14" max="15" width="12.85546875" style="17" customWidth="1"/>
    <col min="16" max="38" width="12.85546875" customWidth="1"/>
  </cols>
  <sheetData>
    <row r="1" spans="1:20" s="4" customFormat="1" ht="14.25" x14ac:dyDescent="0.2">
      <c r="A1" s="67" t="s">
        <v>11</v>
      </c>
      <c r="B1" s="66" t="s">
        <v>12</v>
      </c>
      <c r="C1" s="66"/>
      <c r="D1" s="66" t="s">
        <v>85</v>
      </c>
      <c r="E1" s="66"/>
      <c r="F1" s="66" t="s">
        <v>136</v>
      </c>
      <c r="G1" s="66"/>
      <c r="H1" s="66"/>
      <c r="I1" s="66"/>
      <c r="J1" s="66" t="s">
        <v>152</v>
      </c>
      <c r="K1" s="66"/>
    </row>
    <row r="2" spans="1:20" s="4" customFormat="1" ht="14.25" x14ac:dyDescent="0.2">
      <c r="A2" s="67"/>
      <c r="B2" s="34" t="s">
        <v>34</v>
      </c>
      <c r="C2" s="34" t="s">
        <v>1</v>
      </c>
      <c r="D2" s="34" t="s">
        <v>34</v>
      </c>
      <c r="E2" s="34" t="s">
        <v>1</v>
      </c>
      <c r="F2" s="34" t="s">
        <v>34</v>
      </c>
      <c r="G2" s="34" t="s">
        <v>1</v>
      </c>
      <c r="H2" s="34"/>
      <c r="I2" s="34"/>
      <c r="J2" s="51" t="s">
        <v>34</v>
      </c>
      <c r="K2" s="51" t="s">
        <v>1</v>
      </c>
    </row>
    <row r="3" spans="1:20" s="1" customFormat="1" x14ac:dyDescent="0.25">
      <c r="A3" s="7" t="s">
        <v>24</v>
      </c>
      <c r="B3" s="2">
        <v>2</v>
      </c>
      <c r="C3" s="3">
        <v>4.8780487804878048</v>
      </c>
      <c r="D3" s="2"/>
      <c r="E3" s="2"/>
      <c r="F3" s="2">
        <v>11</v>
      </c>
      <c r="G3" s="3">
        <f>F3/140%</f>
        <v>7.8571428571428577</v>
      </c>
      <c r="H3" s="2"/>
      <c r="I3" s="2"/>
      <c r="J3" s="51">
        <f>SUM(B3,D3,F3,H3)</f>
        <v>13</v>
      </c>
      <c r="K3" s="6">
        <f>J3/212%</f>
        <v>6.132075471698113</v>
      </c>
    </row>
    <row r="4" spans="1:20" s="1" customFormat="1" x14ac:dyDescent="0.25">
      <c r="A4" s="7" t="s">
        <v>134</v>
      </c>
      <c r="B4" s="2"/>
      <c r="C4" s="3"/>
      <c r="D4" s="2"/>
      <c r="E4" s="2"/>
      <c r="F4" s="2">
        <v>1</v>
      </c>
      <c r="G4" s="3">
        <f t="shared" ref="G4:G8" si="0">F4/140%</f>
        <v>0.7142857142857143</v>
      </c>
      <c r="H4" s="2"/>
      <c r="I4" s="2"/>
      <c r="J4" s="51">
        <f t="shared" ref="J4:J8" si="1">SUM(B4,D4,F4,H4)</f>
        <v>1</v>
      </c>
      <c r="K4" s="6">
        <f t="shared" ref="K4:K8" si="2">J4/212%</f>
        <v>0.47169811320754712</v>
      </c>
    </row>
    <row r="5" spans="1:20" s="1" customFormat="1" x14ac:dyDescent="0.25">
      <c r="A5" s="7" t="s">
        <v>25</v>
      </c>
      <c r="B5" s="2">
        <v>2</v>
      </c>
      <c r="C5" s="3">
        <v>4.8780487804878048</v>
      </c>
      <c r="D5" s="49">
        <v>1</v>
      </c>
      <c r="E5" s="50">
        <v>3.7037037037037033</v>
      </c>
      <c r="F5" s="2">
        <v>3</v>
      </c>
      <c r="G5" s="3">
        <f t="shared" si="0"/>
        <v>2.1428571428571428</v>
      </c>
      <c r="H5" s="2"/>
      <c r="I5" s="2"/>
      <c r="J5" s="51">
        <f t="shared" si="1"/>
        <v>6</v>
      </c>
      <c r="K5" s="6">
        <f t="shared" si="2"/>
        <v>2.8301886792452828</v>
      </c>
    </row>
    <row r="6" spans="1:20" s="1" customFormat="1" x14ac:dyDescent="0.25">
      <c r="A6" s="7" t="s">
        <v>26</v>
      </c>
      <c r="B6" s="2">
        <v>18</v>
      </c>
      <c r="C6" s="3">
        <v>46.341463414634148</v>
      </c>
      <c r="D6" s="49">
        <v>14</v>
      </c>
      <c r="E6" s="50">
        <v>37.037037037037038</v>
      </c>
      <c r="F6" s="2">
        <v>63</v>
      </c>
      <c r="G6" s="3">
        <f>F6/140%</f>
        <v>45</v>
      </c>
      <c r="H6" s="2"/>
      <c r="I6" s="2"/>
      <c r="J6" s="51">
        <f t="shared" si="1"/>
        <v>95</v>
      </c>
      <c r="K6" s="6">
        <f t="shared" si="2"/>
        <v>44.811320754716981</v>
      </c>
    </row>
    <row r="7" spans="1:20" s="1" customFormat="1" x14ac:dyDescent="0.25">
      <c r="A7" s="7" t="s">
        <v>28</v>
      </c>
      <c r="B7" s="2">
        <v>10</v>
      </c>
      <c r="C7" s="3">
        <v>26.829268292682929</v>
      </c>
      <c r="D7" s="49">
        <v>12</v>
      </c>
      <c r="E7" s="50">
        <v>37.037037037037038</v>
      </c>
      <c r="F7" s="2">
        <v>42</v>
      </c>
      <c r="G7" s="3">
        <f t="shared" si="0"/>
        <v>30.000000000000004</v>
      </c>
      <c r="H7" s="2"/>
      <c r="I7" s="2"/>
      <c r="J7" s="51">
        <f t="shared" si="1"/>
        <v>64</v>
      </c>
      <c r="K7" s="6">
        <f t="shared" si="2"/>
        <v>30.188679245283016</v>
      </c>
    </row>
    <row r="8" spans="1:20" s="1" customFormat="1" x14ac:dyDescent="0.25">
      <c r="A8" s="7" t="s">
        <v>29</v>
      </c>
      <c r="B8" s="2">
        <v>6</v>
      </c>
      <c r="C8" s="3">
        <v>17.073170731707318</v>
      </c>
      <c r="D8" s="49">
        <v>7</v>
      </c>
      <c r="E8" s="50">
        <v>22.222222222222221</v>
      </c>
      <c r="F8" s="2">
        <v>20</v>
      </c>
      <c r="G8" s="3">
        <f t="shared" si="0"/>
        <v>14.285714285714286</v>
      </c>
      <c r="H8" s="2"/>
      <c r="I8" s="2"/>
      <c r="J8" s="51">
        <f t="shared" si="1"/>
        <v>33</v>
      </c>
      <c r="K8" s="6">
        <f t="shared" si="2"/>
        <v>15.566037735849056</v>
      </c>
    </row>
    <row r="9" spans="1:20" s="18" customFormat="1" x14ac:dyDescent="0.25">
      <c r="A9" s="18" t="s">
        <v>33</v>
      </c>
      <c r="B9" s="27">
        <f>SUM(B3:B8)</f>
        <v>38</v>
      </c>
      <c r="C9" s="27">
        <f>SUM(C3:C8)</f>
        <v>100.00000000000001</v>
      </c>
      <c r="D9" s="27">
        <f t="shared" ref="D9:G9" si="3">SUM(D3:D8)</f>
        <v>34</v>
      </c>
      <c r="E9" s="27">
        <f t="shared" si="3"/>
        <v>100</v>
      </c>
      <c r="F9" s="27">
        <f t="shared" si="3"/>
        <v>140</v>
      </c>
      <c r="G9" s="27">
        <f t="shared" si="3"/>
        <v>100.00000000000001</v>
      </c>
      <c r="H9" s="27"/>
      <c r="I9" s="27"/>
      <c r="J9" s="51">
        <f>SUM(J3:J8)</f>
        <v>212</v>
      </c>
      <c r="K9" s="51">
        <f>SUM(K3:K8)</f>
        <v>99.999999999999986</v>
      </c>
    </row>
    <row r="10" spans="1:20" x14ac:dyDescent="0.25">
      <c r="P10" s="17"/>
      <c r="Q10" s="17"/>
      <c r="R10" s="17"/>
      <c r="S10" s="17"/>
      <c r="T10" s="17"/>
    </row>
    <row r="16" spans="1:20" x14ac:dyDescent="0.25">
      <c r="B16"/>
      <c r="C16"/>
      <c r="D16"/>
      <c r="E16"/>
      <c r="F16"/>
      <c r="H16"/>
      <c r="I16"/>
      <c r="J16" s="18"/>
      <c r="K16" s="18"/>
      <c r="L16" s="18"/>
      <c r="M16" s="18"/>
      <c r="N16"/>
      <c r="O16"/>
    </row>
    <row r="17" spans="1:15" x14ac:dyDescent="0.25">
      <c r="B17"/>
      <c r="C17"/>
      <c r="D17"/>
      <c r="E17"/>
      <c r="F17"/>
      <c r="G17"/>
      <c r="H17"/>
      <c r="I17"/>
      <c r="J17" s="18"/>
      <c r="K17" s="18"/>
      <c r="L17" s="18"/>
      <c r="M17"/>
      <c r="N17"/>
      <c r="O17"/>
    </row>
    <row r="18" spans="1:15" x14ac:dyDescent="0.25">
      <c r="A18" s="7"/>
      <c r="B18"/>
      <c r="C18"/>
      <c r="D18"/>
      <c r="E18"/>
      <c r="F18"/>
      <c r="G18"/>
      <c r="H18"/>
      <c r="I18" s="18"/>
      <c r="J18" s="18"/>
      <c r="K18" s="18"/>
      <c r="L18" s="18"/>
      <c r="M18"/>
      <c r="N18"/>
      <c r="O18"/>
    </row>
    <row r="19" spans="1:15" x14ac:dyDescent="0.25">
      <c r="A19" s="7"/>
      <c r="B19"/>
      <c r="C19"/>
      <c r="D19"/>
      <c r="E19"/>
      <c r="F19"/>
      <c r="G19"/>
      <c r="H19"/>
      <c r="I19" s="18"/>
      <c r="J19" s="18"/>
      <c r="K19" s="18"/>
      <c r="L19" s="18"/>
      <c r="M19"/>
      <c r="N19"/>
      <c r="O19"/>
    </row>
    <row r="20" spans="1:15" x14ac:dyDescent="0.25">
      <c r="A20" s="7"/>
      <c r="B20"/>
      <c r="C20"/>
      <c r="D20"/>
      <c r="E20"/>
      <c r="F20"/>
      <c r="G20"/>
      <c r="H20"/>
      <c r="I20" s="18"/>
      <c r="J20" s="18"/>
      <c r="K20" s="18"/>
      <c r="L20" s="18"/>
      <c r="M20"/>
      <c r="N20"/>
      <c r="O20"/>
    </row>
    <row r="21" spans="1:15" x14ac:dyDescent="0.25">
      <c r="A21" s="7"/>
      <c r="B21"/>
      <c r="C21"/>
      <c r="D21"/>
      <c r="E21"/>
      <c r="F21"/>
      <c r="G21"/>
      <c r="H21"/>
      <c r="I21" s="18"/>
      <c r="J21" s="18"/>
      <c r="K21" s="18"/>
      <c r="L21" s="18"/>
      <c r="M21"/>
      <c r="N21"/>
      <c r="O21"/>
    </row>
    <row r="22" spans="1:15" x14ac:dyDescent="0.25">
      <c r="A22" s="7"/>
      <c r="B22"/>
      <c r="C22"/>
      <c r="D22"/>
      <c r="E22"/>
      <c r="F22"/>
      <c r="G22"/>
      <c r="H22"/>
      <c r="I22" s="18"/>
      <c r="J22" s="18"/>
      <c r="K22" s="18"/>
      <c r="L22" s="18"/>
      <c r="M22"/>
      <c r="N22"/>
      <c r="O22"/>
    </row>
    <row r="23" spans="1:15" x14ac:dyDescent="0.25">
      <c r="A23" s="7"/>
      <c r="B23"/>
      <c r="C23"/>
      <c r="D23"/>
      <c r="E23"/>
      <c r="F23"/>
      <c r="G23"/>
      <c r="H23"/>
      <c r="I23" s="18"/>
      <c r="J23" s="18"/>
      <c r="K23" s="18"/>
      <c r="L23" s="18"/>
      <c r="M23"/>
      <c r="N23"/>
      <c r="O23"/>
    </row>
    <row r="24" spans="1:15" x14ac:dyDescent="0.25">
      <c r="A24" s="7"/>
      <c r="I24" s="19"/>
      <c r="M24" s="17"/>
      <c r="O24"/>
    </row>
    <row r="26" spans="1:15" x14ac:dyDescent="0.25">
      <c r="B26"/>
      <c r="C26"/>
    </row>
    <row r="27" spans="1:15" x14ac:dyDescent="0.25">
      <c r="B27"/>
      <c r="C27"/>
    </row>
    <row r="28" spans="1:15" x14ac:dyDescent="0.25">
      <c r="B28"/>
      <c r="C28"/>
    </row>
    <row r="29" spans="1:15" x14ac:dyDescent="0.25">
      <c r="B29"/>
      <c r="C29"/>
    </row>
    <row r="32" spans="1:15" x14ac:dyDescent="0.25">
      <c r="I32"/>
      <c r="J32" s="18"/>
      <c r="K32" s="18"/>
      <c r="L32"/>
    </row>
    <row r="33" spans="8:15" x14ac:dyDescent="0.25">
      <c r="H33" s="7"/>
      <c r="I33" s="1"/>
      <c r="K33" s="4"/>
      <c r="L33" s="1"/>
      <c r="M33" s="1"/>
      <c r="N33"/>
      <c r="O33"/>
    </row>
    <row r="34" spans="8:15" x14ac:dyDescent="0.25">
      <c r="H34" s="7"/>
      <c r="I34" s="1"/>
      <c r="K34" s="4"/>
      <c r="L34" s="1"/>
      <c r="M34" s="1"/>
      <c r="N34"/>
      <c r="O34"/>
    </row>
    <row r="35" spans="8:15" x14ac:dyDescent="0.25">
      <c r="H35" s="7"/>
      <c r="I35" s="1"/>
      <c r="K35" s="4"/>
      <c r="L35" s="1"/>
      <c r="M35" s="1"/>
      <c r="N35"/>
      <c r="O35"/>
    </row>
    <row r="36" spans="8:15" x14ac:dyDescent="0.25">
      <c r="L36" s="17"/>
    </row>
    <row r="38" spans="8:15" x14ac:dyDescent="0.25">
      <c r="I38"/>
      <c r="J38" s="18"/>
      <c r="K38" s="18"/>
      <c r="L38"/>
    </row>
    <row r="39" spans="8:15" x14ac:dyDescent="0.25">
      <c r="H39" s="7"/>
      <c r="I39" s="1"/>
      <c r="J39" s="4"/>
      <c r="K39" s="4"/>
      <c r="L39" s="1"/>
    </row>
    <row r="40" spans="8:15" x14ac:dyDescent="0.25">
      <c r="H40" s="7"/>
      <c r="I40" s="1"/>
      <c r="J40" s="4"/>
      <c r="K40" s="4"/>
      <c r="L40" s="1"/>
    </row>
    <row r="41" spans="8:15" x14ac:dyDescent="0.25">
      <c r="H41" s="7"/>
      <c r="I41" s="1"/>
      <c r="J41" s="4"/>
      <c r="K41" s="4"/>
      <c r="L41" s="1"/>
    </row>
    <row r="42" spans="8:15" x14ac:dyDescent="0.25">
      <c r="L42" s="17"/>
    </row>
    <row r="44" spans="8:15" x14ac:dyDescent="0.25">
      <c r="I44"/>
      <c r="J44" s="18"/>
      <c r="K44" s="18"/>
      <c r="L44"/>
    </row>
    <row r="45" spans="8:15" x14ac:dyDescent="0.25">
      <c r="H45" s="7"/>
      <c r="I45" s="28"/>
      <c r="J45" s="63"/>
      <c r="K45" s="63"/>
      <c r="L45" s="28"/>
    </row>
    <row r="46" spans="8:15" x14ac:dyDescent="0.25">
      <c r="H46" s="7"/>
      <c r="I46" s="28"/>
      <c r="J46" s="63"/>
      <c r="K46" s="63"/>
      <c r="L46" s="28"/>
    </row>
    <row r="47" spans="8:15" x14ac:dyDescent="0.25">
      <c r="H47" s="7"/>
      <c r="I47" s="28"/>
      <c r="J47" s="63"/>
      <c r="K47" s="63"/>
      <c r="L47" s="28"/>
    </row>
  </sheetData>
  <mergeCells count="6">
    <mergeCell ref="J1:K1"/>
    <mergeCell ref="A1:A2"/>
    <mergeCell ref="B1:C1"/>
    <mergeCell ref="D1:E1"/>
    <mergeCell ref="F1:G1"/>
    <mergeCell ref="H1:I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1"/>
  <sheetViews>
    <sheetView zoomScale="60" zoomScaleNormal="60" workbookViewId="0">
      <selection activeCell="Y22" sqref="A1:Y22"/>
    </sheetView>
  </sheetViews>
  <sheetFormatPr defaultRowHeight="15" x14ac:dyDescent="0.25"/>
  <cols>
    <col min="1" max="1" width="24.42578125" style="1" bestFit="1" customWidth="1"/>
    <col min="2" max="13" width="8.28515625" style="2" hidden="1" customWidth="1"/>
    <col min="14" max="23" width="8.28515625" style="1" hidden="1" customWidth="1"/>
    <col min="24" max="25" width="9.28515625" style="4" customWidth="1"/>
    <col min="26" max="16384" width="9.140625" style="1"/>
  </cols>
  <sheetData>
    <row r="1" spans="1:25" s="4" customFormat="1" ht="14.25" x14ac:dyDescent="0.2">
      <c r="A1" s="67" t="s">
        <v>11</v>
      </c>
      <c r="B1" s="66" t="s">
        <v>2</v>
      </c>
      <c r="C1" s="66"/>
      <c r="D1" s="66" t="s">
        <v>3</v>
      </c>
      <c r="E1" s="66"/>
      <c r="F1" s="66" t="s">
        <v>4</v>
      </c>
      <c r="G1" s="66"/>
      <c r="H1" s="66" t="s">
        <v>5</v>
      </c>
      <c r="I1" s="66"/>
      <c r="J1" s="66" t="s">
        <v>6</v>
      </c>
      <c r="K1" s="66"/>
      <c r="L1" s="66" t="s">
        <v>7</v>
      </c>
      <c r="M1" s="66"/>
      <c r="N1" s="66" t="s">
        <v>8</v>
      </c>
      <c r="O1" s="66"/>
      <c r="P1" s="66" t="s">
        <v>9</v>
      </c>
      <c r="Q1" s="66"/>
      <c r="R1" s="66" t="s">
        <v>128</v>
      </c>
      <c r="S1" s="66"/>
      <c r="T1" s="66" t="s">
        <v>129</v>
      </c>
      <c r="U1" s="66"/>
      <c r="V1" s="66" t="s">
        <v>10</v>
      </c>
      <c r="W1" s="66"/>
      <c r="X1" s="66" t="s">
        <v>12</v>
      </c>
      <c r="Y1" s="66"/>
    </row>
    <row r="2" spans="1:25" s="4" customFormat="1" ht="14.25" x14ac:dyDescent="0.2">
      <c r="A2" s="67"/>
      <c r="B2" s="51" t="s">
        <v>0</v>
      </c>
      <c r="C2" s="51" t="s">
        <v>1</v>
      </c>
      <c r="D2" s="51" t="s">
        <v>0</v>
      </c>
      <c r="E2" s="51" t="s">
        <v>1</v>
      </c>
      <c r="F2" s="51" t="s">
        <v>0</v>
      </c>
      <c r="G2" s="51" t="s">
        <v>1</v>
      </c>
      <c r="H2" s="51" t="s">
        <v>0</v>
      </c>
      <c r="I2" s="51" t="s">
        <v>1</v>
      </c>
      <c r="J2" s="51" t="s">
        <v>0</v>
      </c>
      <c r="K2" s="51" t="s">
        <v>1</v>
      </c>
      <c r="L2" s="51" t="s">
        <v>0</v>
      </c>
      <c r="M2" s="51" t="s">
        <v>1</v>
      </c>
      <c r="N2" s="51" t="s">
        <v>0</v>
      </c>
      <c r="O2" s="51" t="s">
        <v>1</v>
      </c>
      <c r="P2" s="51" t="s">
        <v>0</v>
      </c>
      <c r="Q2" s="51" t="s">
        <v>1</v>
      </c>
      <c r="R2" s="51" t="s">
        <v>0</v>
      </c>
      <c r="S2" s="51" t="s">
        <v>1</v>
      </c>
      <c r="T2" s="51" t="s">
        <v>0</v>
      </c>
      <c r="U2" s="51" t="s">
        <v>1</v>
      </c>
      <c r="V2" s="51" t="s">
        <v>0</v>
      </c>
      <c r="W2" s="51" t="s">
        <v>1</v>
      </c>
      <c r="X2" s="51" t="s">
        <v>0</v>
      </c>
      <c r="Y2" s="51" t="s">
        <v>1</v>
      </c>
    </row>
    <row r="3" spans="1:25" x14ac:dyDescent="0.25">
      <c r="A3" s="1" t="s">
        <v>13</v>
      </c>
      <c r="F3" s="2">
        <v>1</v>
      </c>
      <c r="G3" s="3">
        <f>F3/89%</f>
        <v>1.1235955056179776</v>
      </c>
      <c r="I3" s="3"/>
      <c r="L3" s="2">
        <v>5</v>
      </c>
      <c r="M3" s="3">
        <f>L3/431%</f>
        <v>1.160092807424594</v>
      </c>
      <c r="N3" s="2"/>
      <c r="O3" s="2"/>
      <c r="P3" s="2"/>
      <c r="Q3" s="2"/>
      <c r="R3" s="2">
        <v>1</v>
      </c>
      <c r="S3" s="3">
        <f>R3/11%</f>
        <v>9.0909090909090917</v>
      </c>
      <c r="T3" s="2">
        <v>2</v>
      </c>
      <c r="U3" s="2"/>
      <c r="V3" s="2"/>
      <c r="W3" s="2"/>
      <c r="X3" s="51">
        <f>SUM(V3,T3,R3,P3,N3,L3,J3,H3,F3,D3,B3)</f>
        <v>9</v>
      </c>
      <c r="Y3" s="6">
        <f>X3/773%</f>
        <v>1.1642949547218628</v>
      </c>
    </row>
    <row r="4" spans="1:25" x14ac:dyDescent="0.25">
      <c r="A4" s="1" t="s">
        <v>14</v>
      </c>
      <c r="F4" s="2">
        <v>1</v>
      </c>
      <c r="G4" s="3">
        <f t="shared" ref="G4" si="0">F4/89%</f>
        <v>1.1235955056179776</v>
      </c>
      <c r="I4" s="3"/>
      <c r="M4" s="3"/>
      <c r="N4" s="2"/>
      <c r="O4" s="2"/>
      <c r="P4" s="2"/>
      <c r="Q4" s="2"/>
      <c r="R4" s="2"/>
      <c r="S4" s="3"/>
      <c r="T4" s="2">
        <v>1</v>
      </c>
      <c r="U4" s="2"/>
      <c r="V4" s="2"/>
      <c r="W4" s="2"/>
      <c r="X4" s="51">
        <f t="shared" ref="X4:X21" si="1">SUM(V4,T4,R4,P4,N4,L4,J4,H4,F4,D4,B4)</f>
        <v>2</v>
      </c>
      <c r="Y4" s="6">
        <f t="shared" ref="Y4:Y21" si="2">X4/773%</f>
        <v>0.25873221216041398</v>
      </c>
    </row>
    <row r="5" spans="1:25" x14ac:dyDescent="0.25">
      <c r="A5" s="1" t="s">
        <v>16</v>
      </c>
      <c r="F5" s="2">
        <v>1</v>
      </c>
      <c r="G5" s="3">
        <f>F5/89%</f>
        <v>1.1235955056179776</v>
      </c>
      <c r="I5" s="3"/>
      <c r="M5" s="3"/>
      <c r="N5" s="2"/>
      <c r="O5" s="2"/>
      <c r="P5" s="2"/>
      <c r="Q5" s="2"/>
      <c r="R5" s="2"/>
      <c r="S5" s="3"/>
      <c r="T5" s="2">
        <v>2</v>
      </c>
      <c r="U5" s="2"/>
      <c r="V5" s="2"/>
      <c r="W5" s="2"/>
      <c r="X5" s="51">
        <f t="shared" si="1"/>
        <v>3</v>
      </c>
      <c r="Y5" s="6">
        <f t="shared" si="2"/>
        <v>0.38809831824062091</v>
      </c>
    </row>
    <row r="6" spans="1:25" x14ac:dyDescent="0.25">
      <c r="A6" s="1" t="s">
        <v>17</v>
      </c>
      <c r="G6" s="3"/>
      <c r="I6" s="3"/>
      <c r="L6" s="2">
        <v>2</v>
      </c>
      <c r="M6" s="3">
        <f t="shared" ref="M6:M21" si="3">L6/431%</f>
        <v>0.46403712296983762</v>
      </c>
      <c r="N6" s="2"/>
      <c r="O6" s="2"/>
      <c r="P6" s="2"/>
      <c r="Q6" s="2"/>
      <c r="R6" s="2"/>
      <c r="S6" s="3"/>
      <c r="T6" s="2"/>
      <c r="U6" s="2"/>
      <c r="V6" s="2"/>
      <c r="W6" s="2"/>
      <c r="X6" s="51">
        <f t="shared" si="1"/>
        <v>2</v>
      </c>
      <c r="Y6" s="6">
        <f t="shared" si="2"/>
        <v>0.25873221216041398</v>
      </c>
    </row>
    <row r="7" spans="1:25" x14ac:dyDescent="0.25">
      <c r="A7" s="1" t="s">
        <v>18</v>
      </c>
      <c r="B7" s="2">
        <v>4</v>
      </c>
      <c r="C7" s="3">
        <f t="shared" ref="C7:C21" si="4">B7/114%</f>
        <v>3.5087719298245617</v>
      </c>
      <c r="D7" s="2">
        <v>1</v>
      </c>
      <c r="E7" s="3">
        <f t="shared" ref="E7:E21" si="5">D7/6%</f>
        <v>16.666666666666668</v>
      </c>
      <c r="F7" s="2">
        <v>2</v>
      </c>
      <c r="G7" s="3">
        <f t="shared" ref="G7" si="6">F7/89%</f>
        <v>2.2471910112359552</v>
      </c>
      <c r="I7" s="3"/>
      <c r="L7" s="2">
        <v>6</v>
      </c>
      <c r="M7" s="3">
        <f t="shared" si="3"/>
        <v>1.3921113689095128</v>
      </c>
      <c r="N7" s="2"/>
      <c r="O7" s="2"/>
      <c r="P7" s="2"/>
      <c r="Q7" s="2"/>
      <c r="R7" s="2"/>
      <c r="S7" s="3"/>
      <c r="T7" s="2"/>
      <c r="U7" s="2"/>
      <c r="V7" s="2"/>
      <c r="W7" s="2"/>
      <c r="X7" s="51">
        <f t="shared" si="1"/>
        <v>13</v>
      </c>
      <c r="Y7" s="6">
        <f t="shared" si="2"/>
        <v>1.6817593790426908</v>
      </c>
    </row>
    <row r="8" spans="1:25" x14ac:dyDescent="0.25">
      <c r="A8" s="7" t="s">
        <v>19</v>
      </c>
      <c r="G8" s="3"/>
      <c r="I8" s="3"/>
      <c r="L8" s="2">
        <v>1</v>
      </c>
      <c r="M8" s="3">
        <f t="shared" si="3"/>
        <v>0.23201856148491881</v>
      </c>
      <c r="N8" s="2"/>
      <c r="O8" s="2"/>
      <c r="P8" s="2"/>
      <c r="Q8" s="2"/>
      <c r="R8" s="2"/>
      <c r="S8" s="3"/>
      <c r="T8" s="2"/>
      <c r="U8" s="2"/>
      <c r="V8" s="2"/>
      <c r="W8" s="2"/>
      <c r="X8" s="51">
        <f t="shared" si="1"/>
        <v>1</v>
      </c>
      <c r="Y8" s="6">
        <f t="shared" si="2"/>
        <v>0.12936610608020699</v>
      </c>
    </row>
    <row r="9" spans="1:25" x14ac:dyDescent="0.25">
      <c r="A9" s="7" t="s">
        <v>20</v>
      </c>
      <c r="G9" s="3"/>
      <c r="I9" s="3"/>
      <c r="L9" s="2">
        <v>1</v>
      </c>
      <c r="M9" s="3">
        <f t="shared" si="3"/>
        <v>0.23201856148491881</v>
      </c>
      <c r="N9" s="2"/>
      <c r="O9" s="2"/>
      <c r="P9" s="2"/>
      <c r="Q9" s="2"/>
      <c r="R9" s="2"/>
      <c r="S9" s="3"/>
      <c r="T9" s="2"/>
      <c r="U9" s="2"/>
      <c r="V9" s="2"/>
      <c r="W9" s="2"/>
      <c r="X9" s="51">
        <f t="shared" si="1"/>
        <v>1</v>
      </c>
      <c r="Y9" s="6">
        <f t="shared" si="2"/>
        <v>0.12936610608020699</v>
      </c>
    </row>
    <row r="10" spans="1:25" x14ac:dyDescent="0.25">
      <c r="A10" s="7" t="s">
        <v>21</v>
      </c>
      <c r="B10" s="2">
        <v>1</v>
      </c>
      <c r="C10" s="3">
        <f t="shared" si="4"/>
        <v>0.87719298245614041</v>
      </c>
      <c r="G10" s="3"/>
      <c r="I10" s="3"/>
      <c r="L10" s="2">
        <v>4</v>
      </c>
      <c r="M10" s="3">
        <f t="shared" si="3"/>
        <v>0.92807424593967525</v>
      </c>
      <c r="N10" s="2"/>
      <c r="O10" s="2"/>
      <c r="P10" s="2"/>
      <c r="Q10" s="2"/>
      <c r="R10" s="2"/>
      <c r="S10" s="3"/>
      <c r="T10" s="2"/>
      <c r="U10" s="2"/>
      <c r="V10" s="2"/>
      <c r="W10" s="2"/>
      <c r="X10" s="51">
        <f t="shared" si="1"/>
        <v>5</v>
      </c>
      <c r="Y10" s="6">
        <f t="shared" si="2"/>
        <v>0.64683053040103489</v>
      </c>
    </row>
    <row r="11" spans="1:25" x14ac:dyDescent="0.25">
      <c r="A11" s="1" t="s">
        <v>22</v>
      </c>
      <c r="B11" s="2">
        <v>2</v>
      </c>
      <c r="C11" s="3">
        <f t="shared" si="4"/>
        <v>1.7543859649122808</v>
      </c>
      <c r="F11" s="2">
        <v>3</v>
      </c>
      <c r="G11" s="3">
        <f t="shared" ref="G11" si="7">F11/89%</f>
        <v>3.3707865168539324</v>
      </c>
      <c r="I11" s="3"/>
      <c r="L11" s="2">
        <v>10</v>
      </c>
      <c r="M11" s="3">
        <f t="shared" si="3"/>
        <v>2.3201856148491879</v>
      </c>
      <c r="N11" s="2"/>
      <c r="O11" s="2"/>
      <c r="P11" s="2"/>
      <c r="Q11" s="2"/>
      <c r="R11" s="2"/>
      <c r="S11" s="3"/>
      <c r="T11" s="2">
        <v>2</v>
      </c>
      <c r="U11" s="2"/>
      <c r="V11" s="2"/>
      <c r="W11" s="2"/>
      <c r="X11" s="51">
        <f t="shared" si="1"/>
        <v>17</v>
      </c>
      <c r="Y11" s="6">
        <f t="shared" si="2"/>
        <v>2.1992238033635187</v>
      </c>
    </row>
    <row r="12" spans="1:25" x14ac:dyDescent="0.25">
      <c r="A12" s="7" t="s">
        <v>23</v>
      </c>
      <c r="G12" s="3"/>
      <c r="L12" s="2">
        <v>1</v>
      </c>
      <c r="M12" s="3">
        <f t="shared" si="3"/>
        <v>0.23201856148491881</v>
      </c>
      <c r="N12" s="2"/>
      <c r="O12" s="2"/>
      <c r="P12" s="2"/>
      <c r="Q12" s="2"/>
      <c r="R12" s="2"/>
      <c r="S12" s="3"/>
      <c r="T12" s="2"/>
      <c r="U12" s="2"/>
      <c r="V12" s="2"/>
      <c r="W12" s="2"/>
      <c r="X12" s="51">
        <f t="shared" si="1"/>
        <v>1</v>
      </c>
      <c r="Y12" s="6">
        <f t="shared" si="2"/>
        <v>0.12936610608020699</v>
      </c>
    </row>
    <row r="13" spans="1:25" x14ac:dyDescent="0.25">
      <c r="A13" s="7" t="s">
        <v>24</v>
      </c>
      <c r="G13" s="3"/>
      <c r="L13" s="2">
        <v>3</v>
      </c>
      <c r="M13" s="3">
        <f t="shared" si="3"/>
        <v>0.69605568445475641</v>
      </c>
      <c r="N13" s="2"/>
      <c r="O13" s="2"/>
      <c r="P13" s="2"/>
      <c r="Q13" s="2"/>
      <c r="R13" s="2"/>
      <c r="S13" s="3"/>
      <c r="T13" s="2">
        <v>1</v>
      </c>
      <c r="U13" s="2"/>
      <c r="V13" s="2"/>
      <c r="W13" s="2"/>
      <c r="X13" s="51">
        <f t="shared" si="1"/>
        <v>4</v>
      </c>
      <c r="Y13" s="6">
        <f t="shared" si="2"/>
        <v>0.51746442432082795</v>
      </c>
    </row>
    <row r="14" spans="1:25" x14ac:dyDescent="0.25">
      <c r="A14" s="7" t="s">
        <v>25</v>
      </c>
      <c r="G14" s="3"/>
      <c r="L14" s="2">
        <v>2</v>
      </c>
      <c r="M14" s="3">
        <f t="shared" si="3"/>
        <v>0.46403712296983762</v>
      </c>
      <c r="N14" s="2"/>
      <c r="O14" s="2"/>
      <c r="P14" s="2"/>
      <c r="Q14" s="2"/>
      <c r="R14" s="2"/>
      <c r="S14" s="3"/>
      <c r="T14" s="2"/>
      <c r="U14" s="2"/>
      <c r="V14" s="2"/>
      <c r="W14" s="2"/>
      <c r="X14" s="51">
        <f t="shared" si="1"/>
        <v>2</v>
      </c>
      <c r="Y14" s="6">
        <f t="shared" si="2"/>
        <v>0.25873221216041398</v>
      </c>
    </row>
    <row r="15" spans="1:25" x14ac:dyDescent="0.25">
      <c r="A15" s="7" t="s">
        <v>26</v>
      </c>
      <c r="B15" s="2">
        <v>2</v>
      </c>
      <c r="C15" s="3">
        <f t="shared" si="4"/>
        <v>1.7543859649122808</v>
      </c>
      <c r="D15" s="2">
        <v>1</v>
      </c>
      <c r="E15" s="3">
        <f t="shared" si="5"/>
        <v>16.666666666666668</v>
      </c>
      <c r="F15" s="2">
        <v>7</v>
      </c>
      <c r="G15" s="3">
        <f t="shared" ref="G15" si="8">F15/89%</f>
        <v>7.8651685393258424</v>
      </c>
      <c r="J15" s="2">
        <v>1</v>
      </c>
      <c r="K15" s="3">
        <f t="shared" ref="K15:K20" si="9">J15/15%</f>
        <v>6.666666666666667</v>
      </c>
      <c r="L15" s="2">
        <v>46</v>
      </c>
      <c r="M15" s="3">
        <f t="shared" si="3"/>
        <v>10.672853828306266</v>
      </c>
      <c r="N15" s="2">
        <v>5</v>
      </c>
      <c r="O15" s="3">
        <f>N15/35%</f>
        <v>14.285714285714286</v>
      </c>
      <c r="P15" s="2">
        <v>1</v>
      </c>
      <c r="Q15" s="3">
        <f>P15/1%</f>
        <v>100</v>
      </c>
      <c r="R15" s="2">
        <v>1</v>
      </c>
      <c r="S15" s="3">
        <f t="shared" ref="S15:S21" si="10">R15/11%</f>
        <v>9.0909090909090917</v>
      </c>
      <c r="T15" s="2">
        <v>3</v>
      </c>
      <c r="U15" s="2"/>
      <c r="V15" s="2"/>
      <c r="W15" s="2"/>
      <c r="X15" s="51">
        <f t="shared" si="1"/>
        <v>67</v>
      </c>
      <c r="Y15" s="6">
        <f t="shared" si="2"/>
        <v>8.6675291073738681</v>
      </c>
    </row>
    <row r="16" spans="1:25" x14ac:dyDescent="0.25">
      <c r="A16" s="7" t="s">
        <v>27</v>
      </c>
      <c r="C16" s="8"/>
      <c r="G16" s="3"/>
      <c r="K16" s="3"/>
      <c r="L16" s="2">
        <v>1</v>
      </c>
      <c r="M16" s="3">
        <f t="shared" si="3"/>
        <v>0.23201856148491881</v>
      </c>
      <c r="N16" s="2"/>
      <c r="O16" s="3"/>
      <c r="P16" s="2"/>
      <c r="Q16" s="2"/>
      <c r="R16" s="2"/>
      <c r="S16" s="3"/>
      <c r="T16" s="2"/>
      <c r="U16" s="2"/>
      <c r="V16" s="2"/>
      <c r="W16" s="2"/>
      <c r="X16" s="51">
        <f t="shared" si="1"/>
        <v>1</v>
      </c>
      <c r="Y16" s="6">
        <f t="shared" si="2"/>
        <v>0.12936610608020699</v>
      </c>
    </row>
    <row r="17" spans="1:25" x14ac:dyDescent="0.25">
      <c r="A17" s="7" t="s">
        <v>28</v>
      </c>
      <c r="B17" s="2">
        <v>4</v>
      </c>
      <c r="C17" s="3">
        <f t="shared" si="4"/>
        <v>3.5087719298245617</v>
      </c>
      <c r="D17" s="2">
        <v>1</v>
      </c>
      <c r="E17" s="3">
        <f t="shared" si="5"/>
        <v>16.666666666666668</v>
      </c>
      <c r="F17" s="2">
        <v>7</v>
      </c>
      <c r="G17" s="3">
        <f t="shared" ref="G17:G19" si="11">F17/89%</f>
        <v>7.8651685393258424</v>
      </c>
      <c r="J17" s="2">
        <v>3</v>
      </c>
      <c r="K17" s="3">
        <f t="shared" si="9"/>
        <v>20</v>
      </c>
      <c r="L17" s="2">
        <v>36</v>
      </c>
      <c r="M17" s="3">
        <f t="shared" si="3"/>
        <v>8.3526682134570773</v>
      </c>
      <c r="N17" s="2">
        <v>1</v>
      </c>
      <c r="O17" s="3">
        <f t="shared" ref="O17:O21" si="12">N17/35%</f>
        <v>2.8571428571428572</v>
      </c>
      <c r="P17" s="2"/>
      <c r="Q17" s="2"/>
      <c r="R17" s="2"/>
      <c r="S17" s="3"/>
      <c r="T17" s="2">
        <v>2</v>
      </c>
      <c r="U17" s="2"/>
      <c r="V17" s="2"/>
      <c r="W17" s="2"/>
      <c r="X17" s="51">
        <f t="shared" si="1"/>
        <v>54</v>
      </c>
      <c r="Y17" s="6">
        <f t="shared" si="2"/>
        <v>6.985769728331177</v>
      </c>
    </row>
    <row r="18" spans="1:25" x14ac:dyDescent="0.25">
      <c r="A18" s="7" t="s">
        <v>29</v>
      </c>
      <c r="D18" s="2">
        <v>1</v>
      </c>
      <c r="E18" s="3">
        <f t="shared" si="5"/>
        <v>16.666666666666668</v>
      </c>
      <c r="F18" s="2">
        <v>3</v>
      </c>
      <c r="G18" s="3">
        <f t="shared" si="11"/>
        <v>3.3707865168539324</v>
      </c>
      <c r="K18" s="3"/>
      <c r="L18" s="2">
        <v>43</v>
      </c>
      <c r="M18" s="3">
        <f t="shared" si="3"/>
        <v>9.976798143851509</v>
      </c>
      <c r="N18" s="2">
        <v>2</v>
      </c>
      <c r="O18" s="3">
        <f t="shared" si="12"/>
        <v>5.7142857142857144</v>
      </c>
      <c r="P18" s="2"/>
      <c r="Q18" s="2"/>
      <c r="R18" s="2"/>
      <c r="S18" s="3"/>
      <c r="T18" s="2">
        <v>1</v>
      </c>
      <c r="U18" s="2"/>
      <c r="V18" s="2"/>
      <c r="W18" s="2"/>
      <c r="X18" s="51">
        <f t="shared" si="1"/>
        <v>50</v>
      </c>
      <c r="Y18" s="6">
        <f t="shared" si="2"/>
        <v>6.4683053040103493</v>
      </c>
    </row>
    <row r="19" spans="1:25" x14ac:dyDescent="0.25">
      <c r="A19" s="1" t="s">
        <v>30</v>
      </c>
      <c r="B19" s="2">
        <v>8</v>
      </c>
      <c r="C19" s="3">
        <f t="shared" si="4"/>
        <v>7.0175438596491233</v>
      </c>
      <c r="D19" s="2">
        <v>2</v>
      </c>
      <c r="E19" s="3">
        <f t="shared" si="5"/>
        <v>33.333333333333336</v>
      </c>
      <c r="F19" s="2">
        <v>2</v>
      </c>
      <c r="G19" s="3">
        <f t="shared" si="11"/>
        <v>2.2471910112359552</v>
      </c>
      <c r="J19" s="2">
        <v>3</v>
      </c>
      <c r="K19" s="3">
        <f t="shared" si="9"/>
        <v>20</v>
      </c>
      <c r="L19" s="2">
        <v>15</v>
      </c>
      <c r="M19" s="3">
        <f t="shared" si="3"/>
        <v>3.4802784222737824</v>
      </c>
      <c r="N19" s="2">
        <v>4</v>
      </c>
      <c r="O19" s="3">
        <f t="shared" si="12"/>
        <v>11.428571428571429</v>
      </c>
      <c r="P19" s="2"/>
      <c r="Q19" s="2"/>
      <c r="R19" s="2">
        <v>3</v>
      </c>
      <c r="S19" s="3">
        <f t="shared" si="10"/>
        <v>27.272727272727273</v>
      </c>
      <c r="T19" s="2">
        <v>4</v>
      </c>
      <c r="U19" s="2"/>
      <c r="V19" s="2"/>
      <c r="W19" s="2"/>
      <c r="X19" s="51">
        <f t="shared" si="1"/>
        <v>41</v>
      </c>
      <c r="Y19" s="6">
        <f t="shared" si="2"/>
        <v>5.304010349288486</v>
      </c>
    </row>
    <row r="20" spans="1:25" x14ac:dyDescent="0.25">
      <c r="A20" s="1" t="s">
        <v>31</v>
      </c>
      <c r="G20" s="3"/>
      <c r="J20" s="2">
        <v>3</v>
      </c>
      <c r="K20" s="3">
        <f t="shared" si="9"/>
        <v>20</v>
      </c>
      <c r="L20" s="2">
        <v>3</v>
      </c>
      <c r="M20" s="3">
        <f t="shared" si="3"/>
        <v>0.69605568445475641</v>
      </c>
      <c r="N20" s="2">
        <v>2</v>
      </c>
      <c r="O20" s="3">
        <f t="shared" si="12"/>
        <v>5.7142857142857144</v>
      </c>
      <c r="P20" s="2"/>
      <c r="Q20" s="2"/>
      <c r="R20" s="2"/>
      <c r="S20" s="3"/>
      <c r="T20" s="2"/>
      <c r="U20" s="2"/>
      <c r="V20" s="2"/>
      <c r="W20" s="2"/>
      <c r="X20" s="51">
        <f t="shared" si="1"/>
        <v>8</v>
      </c>
      <c r="Y20" s="6">
        <f t="shared" si="2"/>
        <v>1.0349288486416559</v>
      </c>
    </row>
    <row r="21" spans="1:25" x14ac:dyDescent="0.25">
      <c r="A21" s="1" t="s">
        <v>32</v>
      </c>
      <c r="B21" s="2">
        <v>93</v>
      </c>
      <c r="C21" s="3">
        <f t="shared" si="4"/>
        <v>81.578947368421055</v>
      </c>
      <c r="E21" s="2">
        <f t="shared" si="5"/>
        <v>0</v>
      </c>
      <c r="F21" s="2">
        <v>62</v>
      </c>
      <c r="G21" s="3">
        <f t="shared" ref="G21" si="13">F21/89%</f>
        <v>69.662921348314612</v>
      </c>
      <c r="H21" s="2">
        <v>1</v>
      </c>
      <c r="I21" s="3">
        <f>H21/1%</f>
        <v>100</v>
      </c>
      <c r="J21" s="2">
        <v>5</v>
      </c>
      <c r="K21" s="3">
        <f>J21/15%</f>
        <v>33.333333333333336</v>
      </c>
      <c r="L21" s="2">
        <v>252</v>
      </c>
      <c r="M21" s="3">
        <f t="shared" si="3"/>
        <v>58.46867749419954</v>
      </c>
      <c r="N21" s="2">
        <v>21</v>
      </c>
      <c r="O21" s="3">
        <f t="shared" si="12"/>
        <v>60.000000000000007</v>
      </c>
      <c r="P21" s="2"/>
      <c r="Q21" s="2"/>
      <c r="R21" s="2">
        <v>6</v>
      </c>
      <c r="S21" s="3">
        <f t="shared" si="10"/>
        <v>54.545454545454547</v>
      </c>
      <c r="T21" s="2">
        <v>51</v>
      </c>
      <c r="U21" s="2"/>
      <c r="V21" s="2">
        <v>1</v>
      </c>
      <c r="W21" s="3">
        <f>V21/1%</f>
        <v>100</v>
      </c>
      <c r="X21" s="51">
        <f t="shared" si="1"/>
        <v>492</v>
      </c>
      <c r="Y21" s="6">
        <f t="shared" si="2"/>
        <v>63.648124191461832</v>
      </c>
    </row>
    <row r="22" spans="1:25" s="4" customFormat="1" ht="14.25" x14ac:dyDescent="0.2">
      <c r="A22" s="4" t="s">
        <v>33</v>
      </c>
      <c r="B22" s="51">
        <f t="shared" ref="B22:Y22" si="14">SUM(B1:B21)</f>
        <v>114</v>
      </c>
      <c r="C22" s="51">
        <f t="shared" si="14"/>
        <v>100</v>
      </c>
      <c r="D22" s="51">
        <f t="shared" si="14"/>
        <v>6</v>
      </c>
      <c r="E22" s="51">
        <f t="shared" si="14"/>
        <v>100</v>
      </c>
      <c r="F22" s="51">
        <f t="shared" si="14"/>
        <v>89</v>
      </c>
      <c r="G22" s="51">
        <f t="shared" si="14"/>
        <v>100</v>
      </c>
      <c r="H22" s="51">
        <f t="shared" si="14"/>
        <v>1</v>
      </c>
      <c r="I22" s="51">
        <f t="shared" si="14"/>
        <v>100</v>
      </c>
      <c r="J22" s="51">
        <f t="shared" si="14"/>
        <v>15</v>
      </c>
      <c r="K22" s="51">
        <f t="shared" si="14"/>
        <v>100</v>
      </c>
      <c r="L22" s="51">
        <f t="shared" si="14"/>
        <v>431</v>
      </c>
      <c r="M22" s="51">
        <f t="shared" si="14"/>
        <v>100</v>
      </c>
      <c r="N22" s="51">
        <f t="shared" si="14"/>
        <v>35</v>
      </c>
      <c r="O22" s="51">
        <f t="shared" si="14"/>
        <v>100</v>
      </c>
      <c r="P22" s="51">
        <f t="shared" si="14"/>
        <v>1</v>
      </c>
      <c r="Q22" s="51">
        <f t="shared" si="14"/>
        <v>100</v>
      </c>
      <c r="R22" s="51">
        <f t="shared" si="14"/>
        <v>11</v>
      </c>
      <c r="S22" s="51">
        <f t="shared" si="14"/>
        <v>100</v>
      </c>
      <c r="T22" s="51">
        <f t="shared" si="14"/>
        <v>69</v>
      </c>
      <c r="U22" s="51">
        <f t="shared" si="14"/>
        <v>0</v>
      </c>
      <c r="V22" s="51">
        <f t="shared" si="14"/>
        <v>1</v>
      </c>
      <c r="W22" s="51">
        <f t="shared" si="14"/>
        <v>100</v>
      </c>
      <c r="X22" s="51">
        <f t="shared" si="14"/>
        <v>773</v>
      </c>
      <c r="Y22" s="51">
        <f t="shared" si="14"/>
        <v>100</v>
      </c>
    </row>
    <row r="23" spans="1:25" x14ac:dyDescent="0.25">
      <c r="N23" s="2"/>
      <c r="O23" s="2"/>
      <c r="P23" s="2"/>
      <c r="Q23" s="2"/>
      <c r="V23" s="2"/>
      <c r="W23" s="2"/>
      <c r="X23" s="51"/>
      <c r="Y23" s="51"/>
    </row>
    <row r="26" spans="1:25" x14ac:dyDescent="0.25">
      <c r="A26" s="9"/>
    </row>
    <row r="29" spans="1:2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2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2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2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x14ac:dyDescent="0.2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x14ac:dyDescent="0.25">
      <c r="A35" s="7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 x14ac:dyDescent="0.25">
      <c r="A36" s="7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 x14ac:dyDescent="0.25">
      <c r="A37" s="7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 x14ac:dyDescent="0.25">
      <c r="A38" s="7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 x14ac:dyDescent="0.25">
      <c r="A39" s="7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 x14ac:dyDescent="0.25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4" spans="1:13" x14ac:dyDescent="0.25">
      <c r="B44" s="1"/>
      <c r="C44" s="1"/>
    </row>
    <row r="45" spans="1:13" x14ac:dyDescent="0.25">
      <c r="B45" s="1"/>
      <c r="C45" s="1"/>
    </row>
    <row r="46" spans="1:13" x14ac:dyDescent="0.25">
      <c r="B46" s="1"/>
      <c r="C46" s="1"/>
    </row>
    <row r="47" spans="1:13" x14ac:dyDescent="0.25">
      <c r="B47" s="1"/>
      <c r="C47" s="1"/>
    </row>
    <row r="51" spans="9:25" x14ac:dyDescent="0.25">
      <c r="I51" s="1"/>
      <c r="J51" s="1"/>
      <c r="K51" s="1"/>
      <c r="L51" s="1"/>
      <c r="M51" s="1"/>
      <c r="U51" s="4"/>
      <c r="V51" s="4"/>
      <c r="X51" s="1"/>
      <c r="Y51" s="1"/>
    </row>
    <row r="52" spans="9:25" x14ac:dyDescent="0.25">
      <c r="I52" s="1"/>
      <c r="J52" s="1"/>
      <c r="K52" s="1"/>
      <c r="L52" s="1"/>
      <c r="M52" s="1"/>
      <c r="U52" s="4"/>
      <c r="V52" s="4"/>
      <c r="X52" s="1"/>
      <c r="Y52" s="1"/>
    </row>
    <row r="53" spans="9:25" x14ac:dyDescent="0.25">
      <c r="I53" s="1"/>
      <c r="J53" s="1"/>
      <c r="K53" s="1"/>
      <c r="L53" s="1"/>
      <c r="M53" s="1"/>
      <c r="U53" s="4"/>
      <c r="V53" s="4"/>
      <c r="X53" s="1"/>
      <c r="Y53" s="1"/>
    </row>
    <row r="54" spans="9:25" x14ac:dyDescent="0.25">
      <c r="I54" s="1"/>
      <c r="J54" s="1"/>
      <c r="K54" s="1"/>
      <c r="L54" s="1"/>
      <c r="M54" s="1"/>
      <c r="U54" s="4"/>
      <c r="V54" s="4"/>
      <c r="X54" s="1"/>
      <c r="Y54" s="1"/>
    </row>
    <row r="55" spans="9:25" x14ac:dyDescent="0.25">
      <c r="I55" s="1"/>
      <c r="J55" s="1"/>
      <c r="K55" s="1"/>
      <c r="L55" s="1"/>
      <c r="M55" s="1"/>
      <c r="U55" s="4"/>
      <c r="V55" s="4"/>
      <c r="X55" s="1"/>
      <c r="Y55" s="1"/>
    </row>
    <row r="56" spans="9:25" x14ac:dyDescent="0.25">
      <c r="I56" s="1"/>
      <c r="J56" s="1"/>
      <c r="K56" s="1"/>
      <c r="L56" s="1"/>
      <c r="M56" s="1"/>
      <c r="U56" s="4"/>
      <c r="V56" s="4"/>
      <c r="X56" s="1"/>
      <c r="Y56" s="1"/>
    </row>
    <row r="57" spans="9:25" x14ac:dyDescent="0.25">
      <c r="I57" s="1"/>
      <c r="J57" s="1"/>
      <c r="K57" s="1"/>
      <c r="L57" s="1"/>
      <c r="M57" s="1"/>
      <c r="U57" s="4"/>
      <c r="V57" s="4"/>
      <c r="X57" s="1"/>
      <c r="Y57" s="1"/>
    </row>
    <row r="58" spans="9:25" x14ac:dyDescent="0.25">
      <c r="I58" s="1"/>
      <c r="J58" s="1"/>
      <c r="K58" s="1"/>
      <c r="L58" s="1"/>
      <c r="M58" s="1"/>
      <c r="U58" s="4"/>
      <c r="V58" s="4"/>
      <c r="X58" s="1"/>
      <c r="Y58" s="1"/>
    </row>
    <row r="59" spans="9:25" x14ac:dyDescent="0.25">
      <c r="I59" s="1"/>
      <c r="J59" s="1"/>
      <c r="K59" s="1"/>
      <c r="L59" s="1"/>
      <c r="M59" s="1"/>
      <c r="U59" s="4"/>
      <c r="V59" s="4"/>
      <c r="X59" s="1"/>
      <c r="Y59" s="1"/>
    </row>
    <row r="60" spans="9:25" x14ac:dyDescent="0.25">
      <c r="I60" s="1"/>
      <c r="J60" s="1"/>
      <c r="K60" s="1"/>
      <c r="L60" s="1"/>
      <c r="M60" s="1"/>
      <c r="U60" s="4"/>
      <c r="V60" s="4"/>
      <c r="X60" s="1"/>
      <c r="Y60" s="1"/>
    </row>
    <row r="61" spans="9:25" x14ac:dyDescent="0.25">
      <c r="I61" s="1"/>
      <c r="J61" s="1"/>
      <c r="K61" s="1"/>
      <c r="L61" s="1"/>
      <c r="M61" s="1"/>
      <c r="U61" s="4"/>
      <c r="V61" s="4"/>
      <c r="X61" s="1"/>
      <c r="Y61" s="1"/>
    </row>
    <row r="62" spans="9:25" x14ac:dyDescent="0.25">
      <c r="I62" s="1"/>
      <c r="J62" s="1"/>
      <c r="K62" s="1"/>
      <c r="L62" s="1"/>
      <c r="M62" s="1"/>
      <c r="U62" s="4"/>
      <c r="V62" s="4"/>
      <c r="X62" s="1"/>
      <c r="Y62" s="1"/>
    </row>
    <row r="63" spans="9:25" x14ac:dyDescent="0.25">
      <c r="I63" s="1"/>
      <c r="J63" s="1"/>
      <c r="K63" s="1"/>
      <c r="L63" s="1"/>
      <c r="M63" s="1"/>
      <c r="U63" s="4"/>
      <c r="V63" s="4"/>
      <c r="X63" s="1"/>
      <c r="Y63" s="1"/>
    </row>
    <row r="64" spans="9:25" x14ac:dyDescent="0.25">
      <c r="I64" s="1"/>
      <c r="J64" s="1"/>
      <c r="K64" s="1"/>
      <c r="L64" s="1"/>
      <c r="M64" s="1"/>
      <c r="U64" s="4"/>
      <c r="V64" s="4"/>
      <c r="X64" s="1"/>
      <c r="Y64" s="1"/>
    </row>
    <row r="65" spans="9:25" x14ac:dyDescent="0.25">
      <c r="I65" s="1"/>
      <c r="J65" s="1"/>
      <c r="K65" s="1"/>
      <c r="L65" s="1"/>
      <c r="M65" s="1"/>
      <c r="U65" s="4"/>
      <c r="V65" s="4"/>
      <c r="X65" s="1"/>
      <c r="Y65" s="1"/>
    </row>
    <row r="66" spans="9:25" x14ac:dyDescent="0.25">
      <c r="I66" s="1"/>
      <c r="J66" s="1"/>
      <c r="K66" s="1"/>
      <c r="L66" s="1"/>
      <c r="M66" s="1"/>
      <c r="U66" s="4"/>
      <c r="V66" s="4"/>
      <c r="X66" s="1"/>
      <c r="Y66" s="1"/>
    </row>
    <row r="67" spans="9:25" x14ac:dyDescent="0.25">
      <c r="I67" s="1"/>
      <c r="J67" s="1"/>
      <c r="K67" s="1"/>
      <c r="L67" s="1"/>
      <c r="M67" s="1"/>
      <c r="U67" s="4"/>
      <c r="V67" s="4"/>
      <c r="X67" s="1"/>
      <c r="Y67" s="1"/>
    </row>
    <row r="68" spans="9:25" x14ac:dyDescent="0.25">
      <c r="I68" s="1"/>
      <c r="J68" s="1"/>
      <c r="K68" s="1"/>
      <c r="L68" s="1"/>
      <c r="M68" s="1"/>
      <c r="U68" s="4"/>
      <c r="V68" s="4"/>
      <c r="X68" s="1"/>
      <c r="Y68" s="1"/>
    </row>
    <row r="69" spans="9:25" x14ac:dyDescent="0.25">
      <c r="I69" s="1"/>
      <c r="J69" s="1"/>
      <c r="K69" s="1"/>
      <c r="L69" s="1"/>
      <c r="M69" s="1"/>
      <c r="U69" s="4"/>
      <c r="V69" s="4"/>
      <c r="X69" s="1"/>
      <c r="Y69" s="1"/>
    </row>
    <row r="70" spans="9:25" x14ac:dyDescent="0.25">
      <c r="I70" s="1"/>
      <c r="J70" s="1"/>
      <c r="K70" s="1"/>
      <c r="L70" s="1"/>
      <c r="M70" s="1"/>
      <c r="U70" s="4"/>
      <c r="V70" s="4"/>
      <c r="X70" s="1"/>
      <c r="Y70" s="1"/>
    </row>
    <row r="71" spans="9:25" x14ac:dyDescent="0.25">
      <c r="I71" s="1"/>
      <c r="J71" s="1"/>
      <c r="K71" s="1"/>
      <c r="L71" s="1"/>
      <c r="M71" s="1"/>
      <c r="U71" s="4"/>
      <c r="V71" s="4"/>
      <c r="X71" s="1"/>
      <c r="Y71" s="1"/>
    </row>
    <row r="72" spans="9:25" x14ac:dyDescent="0.25">
      <c r="I72" s="1"/>
      <c r="J72" s="1"/>
      <c r="K72" s="1"/>
      <c r="L72" s="1"/>
      <c r="M72" s="1"/>
      <c r="U72" s="4"/>
      <c r="V72" s="4"/>
      <c r="X72" s="1"/>
      <c r="Y72" s="1"/>
    </row>
    <row r="73" spans="9:25" x14ac:dyDescent="0.25">
      <c r="I73" s="1"/>
      <c r="J73" s="1"/>
      <c r="K73" s="1"/>
      <c r="L73" s="1"/>
      <c r="M73" s="1"/>
      <c r="U73" s="4"/>
      <c r="V73" s="4"/>
      <c r="X73" s="1"/>
      <c r="Y73" s="1"/>
    </row>
    <row r="74" spans="9:25" x14ac:dyDescent="0.25">
      <c r="I74" s="1"/>
      <c r="J74" s="1"/>
      <c r="K74" s="1"/>
      <c r="L74" s="1"/>
      <c r="M74" s="1"/>
      <c r="U74" s="4"/>
      <c r="V74" s="4"/>
      <c r="X74" s="1"/>
      <c r="Y74" s="1"/>
    </row>
    <row r="75" spans="9:25" x14ac:dyDescent="0.25">
      <c r="I75" s="1"/>
      <c r="J75" s="1"/>
      <c r="K75" s="1"/>
      <c r="L75" s="1"/>
      <c r="M75" s="1"/>
      <c r="U75" s="4"/>
      <c r="V75" s="4"/>
      <c r="X75" s="1"/>
      <c r="Y75" s="1"/>
    </row>
    <row r="76" spans="9:25" x14ac:dyDescent="0.25">
      <c r="I76" s="1"/>
      <c r="J76" s="1"/>
      <c r="K76" s="1"/>
      <c r="L76" s="1"/>
      <c r="M76" s="1"/>
      <c r="U76" s="4"/>
      <c r="V76" s="4"/>
      <c r="X76" s="1"/>
      <c r="Y76" s="1"/>
    </row>
    <row r="77" spans="9:25" x14ac:dyDescent="0.25">
      <c r="I77" s="1"/>
      <c r="J77" s="1"/>
      <c r="K77" s="1"/>
      <c r="L77" s="1"/>
      <c r="M77" s="1"/>
      <c r="U77" s="4"/>
      <c r="V77" s="4"/>
      <c r="X77" s="1"/>
      <c r="Y77" s="1"/>
    </row>
    <row r="78" spans="9:25" x14ac:dyDescent="0.25">
      <c r="I78" s="1"/>
      <c r="J78" s="1"/>
      <c r="K78" s="1"/>
      <c r="L78" s="1"/>
      <c r="M78" s="1"/>
      <c r="U78" s="4"/>
      <c r="V78" s="4"/>
      <c r="X78" s="1"/>
      <c r="Y78" s="1"/>
    </row>
    <row r="79" spans="9:25" x14ac:dyDescent="0.25">
      <c r="I79" s="1"/>
      <c r="J79" s="1"/>
      <c r="K79" s="1"/>
      <c r="L79" s="1"/>
      <c r="M79" s="1"/>
      <c r="U79" s="4"/>
      <c r="V79" s="4"/>
      <c r="X79" s="1"/>
      <c r="Y79" s="1"/>
    </row>
    <row r="80" spans="9:25" x14ac:dyDescent="0.25">
      <c r="I80" s="1"/>
      <c r="J80" s="1"/>
      <c r="K80" s="1"/>
      <c r="L80" s="1"/>
      <c r="M80" s="1"/>
      <c r="U80" s="4"/>
      <c r="V80" s="4"/>
      <c r="X80" s="1"/>
      <c r="Y80" s="1"/>
    </row>
    <row r="81" spans="9:25" x14ac:dyDescent="0.25">
      <c r="I81" s="1"/>
      <c r="J81" s="1"/>
      <c r="K81" s="1"/>
      <c r="L81" s="1"/>
      <c r="M81" s="1"/>
      <c r="U81" s="4"/>
      <c r="V81" s="4"/>
      <c r="X81" s="1"/>
      <c r="Y81" s="1"/>
    </row>
  </sheetData>
  <mergeCells count="13">
    <mergeCell ref="J1:K1"/>
    <mergeCell ref="A1:A2"/>
    <mergeCell ref="B1:C1"/>
    <mergeCell ref="D1:E1"/>
    <mergeCell ref="F1:G1"/>
    <mergeCell ref="H1:I1"/>
    <mergeCell ref="X1:Y1"/>
    <mergeCell ref="L1:M1"/>
    <mergeCell ref="N1:O1"/>
    <mergeCell ref="P1:Q1"/>
    <mergeCell ref="V1:W1"/>
    <mergeCell ref="R1:S1"/>
    <mergeCell ref="T1:U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9"/>
  <sheetViews>
    <sheetView zoomScale="60" zoomScaleNormal="60" workbookViewId="0">
      <selection sqref="A1:M8"/>
    </sheetView>
  </sheetViews>
  <sheetFormatPr defaultRowHeight="15" x14ac:dyDescent="0.25"/>
  <cols>
    <col min="1" max="1" width="24.42578125" style="1" bestFit="1" customWidth="1"/>
    <col min="2" max="13" width="8.28515625" style="2" customWidth="1"/>
    <col min="14" max="23" width="8.28515625" style="1" customWidth="1"/>
    <col min="24" max="25" width="9.28515625" style="4" customWidth="1"/>
    <col min="26" max="16384" width="9.140625" style="1"/>
  </cols>
  <sheetData>
    <row r="1" spans="1:25" s="4" customFormat="1" ht="14.25" x14ac:dyDescent="0.2">
      <c r="A1" s="67" t="s">
        <v>11</v>
      </c>
      <c r="B1" s="66" t="s">
        <v>2</v>
      </c>
      <c r="C1" s="66"/>
      <c r="D1" s="66" t="s">
        <v>3</v>
      </c>
      <c r="E1" s="66"/>
      <c r="F1" s="66" t="s">
        <v>4</v>
      </c>
      <c r="G1" s="66"/>
      <c r="H1" s="66" t="s">
        <v>5</v>
      </c>
      <c r="I1" s="66"/>
      <c r="J1" s="66" t="s">
        <v>6</v>
      </c>
      <c r="K1" s="66"/>
      <c r="L1" s="66" t="s">
        <v>7</v>
      </c>
      <c r="M1" s="66"/>
      <c r="N1" s="66" t="s">
        <v>8</v>
      </c>
      <c r="O1" s="66"/>
      <c r="P1" s="66" t="s">
        <v>9</v>
      </c>
      <c r="Q1" s="66"/>
      <c r="R1" s="66" t="s">
        <v>128</v>
      </c>
      <c r="S1" s="66"/>
      <c r="T1" s="66" t="s">
        <v>129</v>
      </c>
      <c r="U1" s="66"/>
      <c r="V1" s="66" t="s">
        <v>10</v>
      </c>
      <c r="W1" s="66"/>
      <c r="X1" s="66" t="s">
        <v>12</v>
      </c>
      <c r="Y1" s="66"/>
    </row>
    <row r="2" spans="1:25" s="4" customFormat="1" ht="14.25" x14ac:dyDescent="0.2">
      <c r="A2" s="67"/>
      <c r="B2" s="5" t="s">
        <v>34</v>
      </c>
      <c r="C2" s="5" t="s">
        <v>1</v>
      </c>
      <c r="D2" s="5" t="s">
        <v>34</v>
      </c>
      <c r="E2" s="5" t="s">
        <v>1</v>
      </c>
      <c r="F2" s="5" t="s">
        <v>34</v>
      </c>
      <c r="G2" s="5" t="s">
        <v>1</v>
      </c>
      <c r="H2" s="5" t="s">
        <v>34</v>
      </c>
      <c r="I2" s="5" t="s">
        <v>1</v>
      </c>
      <c r="J2" s="5" t="s">
        <v>34</v>
      </c>
      <c r="K2" s="5" t="s">
        <v>1</v>
      </c>
      <c r="L2" s="5" t="s">
        <v>34</v>
      </c>
      <c r="M2" s="5" t="s">
        <v>1</v>
      </c>
      <c r="N2" s="5" t="s">
        <v>34</v>
      </c>
      <c r="O2" s="5" t="s">
        <v>1</v>
      </c>
      <c r="P2" s="5" t="s">
        <v>34</v>
      </c>
      <c r="Q2" s="5" t="s">
        <v>1</v>
      </c>
      <c r="R2" s="29" t="s">
        <v>34</v>
      </c>
      <c r="S2" s="29" t="s">
        <v>1</v>
      </c>
      <c r="T2" s="29" t="s">
        <v>34</v>
      </c>
      <c r="U2" s="29" t="s">
        <v>1</v>
      </c>
      <c r="V2" s="5" t="s">
        <v>34</v>
      </c>
      <c r="W2" s="5" t="s">
        <v>1</v>
      </c>
      <c r="X2" s="5" t="s">
        <v>34</v>
      </c>
      <c r="Y2" s="5" t="s">
        <v>1</v>
      </c>
    </row>
    <row r="3" spans="1:25" x14ac:dyDescent="0.25">
      <c r="A3" s="7" t="s">
        <v>24</v>
      </c>
      <c r="G3" s="3"/>
      <c r="L3" s="2">
        <v>1</v>
      </c>
      <c r="M3" s="3">
        <f>L3/14%</f>
        <v>7.1428571428571423</v>
      </c>
      <c r="N3" s="2"/>
      <c r="O3" s="2"/>
      <c r="P3" s="2"/>
      <c r="Q3" s="2"/>
      <c r="R3" s="2"/>
      <c r="S3" s="2"/>
      <c r="T3" s="2">
        <v>1</v>
      </c>
      <c r="U3" s="3">
        <f>T3/4%</f>
        <v>25</v>
      </c>
      <c r="V3" s="2"/>
      <c r="W3" s="2"/>
      <c r="X3" s="5">
        <f>SUM(,V3,T3,R3,P3,N3,L3,J3,H3,F3,D3,B3)</f>
        <v>2</v>
      </c>
      <c r="Y3" s="6">
        <f>X3/38%</f>
        <v>5.2631578947368425</v>
      </c>
    </row>
    <row r="4" spans="1:25" x14ac:dyDescent="0.25">
      <c r="A4" s="7" t="s">
        <v>25</v>
      </c>
      <c r="G4" s="3"/>
      <c r="L4" s="2">
        <v>2</v>
      </c>
      <c r="M4" s="3">
        <f t="shared" ref="M4:M7" si="0">L4/14%</f>
        <v>14.285714285714285</v>
      </c>
      <c r="N4" s="2"/>
      <c r="O4" s="2"/>
      <c r="P4" s="2"/>
      <c r="Q4" s="2"/>
      <c r="R4" s="2"/>
      <c r="S4" s="2"/>
      <c r="T4" s="2"/>
      <c r="U4" s="3"/>
      <c r="V4" s="2"/>
      <c r="W4" s="2"/>
      <c r="X4" s="30">
        <f t="shared" ref="X4:X7" si="1">SUM(,V4,T4,R4,P4,N4,L4,J4,H4,F4,D4,B4)</f>
        <v>2</v>
      </c>
      <c r="Y4" s="6">
        <f t="shared" ref="Y4:Y7" si="2">X4/38%</f>
        <v>5.2631578947368425</v>
      </c>
    </row>
    <row r="5" spans="1:25" x14ac:dyDescent="0.25">
      <c r="A5" s="7" t="s">
        <v>26</v>
      </c>
      <c r="B5" s="2">
        <v>2</v>
      </c>
      <c r="C5" s="3">
        <f>B5/3%</f>
        <v>66.666666666666671</v>
      </c>
      <c r="D5" s="2">
        <v>1</v>
      </c>
      <c r="E5" s="3">
        <f>D5/3%</f>
        <v>33.333333333333336</v>
      </c>
      <c r="F5" s="2">
        <v>3</v>
      </c>
      <c r="G5" s="3">
        <f>F5/5%</f>
        <v>60</v>
      </c>
      <c r="J5" s="2">
        <v>1</v>
      </c>
      <c r="K5" s="3">
        <f>J5/2%</f>
        <v>50</v>
      </c>
      <c r="L5" s="2">
        <v>5</v>
      </c>
      <c r="M5" s="3">
        <f t="shared" si="0"/>
        <v>35.714285714285708</v>
      </c>
      <c r="N5" s="2">
        <v>3</v>
      </c>
      <c r="O5" s="3">
        <f>N5/5%</f>
        <v>60</v>
      </c>
      <c r="P5" s="2">
        <v>1</v>
      </c>
      <c r="Q5" s="3">
        <f>P5/1%</f>
        <v>100</v>
      </c>
      <c r="R5" s="8">
        <v>1</v>
      </c>
      <c r="S5" s="3">
        <f>R5/1%</f>
        <v>100</v>
      </c>
      <c r="T5" s="8">
        <v>1</v>
      </c>
      <c r="U5" s="3">
        <f t="shared" ref="U5:U7" si="3">T5/4%</f>
        <v>25</v>
      </c>
      <c r="V5" s="2"/>
      <c r="W5" s="2"/>
      <c r="X5" s="30">
        <f t="shared" si="1"/>
        <v>18</v>
      </c>
      <c r="Y5" s="6">
        <f t="shared" si="2"/>
        <v>47.368421052631575</v>
      </c>
    </row>
    <row r="6" spans="1:25" x14ac:dyDescent="0.25">
      <c r="A6" s="7" t="s">
        <v>28</v>
      </c>
      <c r="B6" s="2">
        <v>1</v>
      </c>
      <c r="C6" s="3">
        <f t="shared" ref="C6" si="4">B6/3%</f>
        <v>33.333333333333336</v>
      </c>
      <c r="D6" s="2">
        <v>1</v>
      </c>
      <c r="E6" s="3">
        <f t="shared" ref="E6:E7" si="5">D6/3%</f>
        <v>33.333333333333336</v>
      </c>
      <c r="F6" s="2">
        <v>1</v>
      </c>
      <c r="G6" s="3">
        <f t="shared" ref="G6:G7" si="6">F6/5%</f>
        <v>20</v>
      </c>
      <c r="J6" s="2">
        <v>1</v>
      </c>
      <c r="K6" s="3">
        <f t="shared" ref="K6" si="7">J6/2%</f>
        <v>50</v>
      </c>
      <c r="L6" s="2">
        <v>4</v>
      </c>
      <c r="M6" s="3">
        <f t="shared" si="0"/>
        <v>28.571428571428569</v>
      </c>
      <c r="N6" s="2">
        <v>1</v>
      </c>
      <c r="O6" s="3">
        <f t="shared" ref="O6:O7" si="8">N6/5%</f>
        <v>20</v>
      </c>
      <c r="P6" s="2"/>
      <c r="Q6" s="2"/>
      <c r="R6" s="2"/>
      <c r="S6" s="2"/>
      <c r="T6" s="2">
        <v>1</v>
      </c>
      <c r="U6" s="3">
        <f t="shared" si="3"/>
        <v>25</v>
      </c>
      <c r="V6" s="2"/>
      <c r="W6" s="2"/>
      <c r="X6" s="30">
        <f t="shared" si="1"/>
        <v>10</v>
      </c>
      <c r="Y6" s="6">
        <f t="shared" si="2"/>
        <v>26.315789473684209</v>
      </c>
    </row>
    <row r="7" spans="1:25" x14ac:dyDescent="0.25">
      <c r="A7" s="7" t="s">
        <v>29</v>
      </c>
      <c r="D7" s="2">
        <v>1</v>
      </c>
      <c r="E7" s="3">
        <f t="shared" si="5"/>
        <v>33.333333333333336</v>
      </c>
      <c r="F7" s="2">
        <v>1</v>
      </c>
      <c r="G7" s="3">
        <f t="shared" si="6"/>
        <v>20</v>
      </c>
      <c r="K7" s="3"/>
      <c r="L7" s="2">
        <v>2</v>
      </c>
      <c r="M7" s="3">
        <f t="shared" si="0"/>
        <v>14.285714285714285</v>
      </c>
      <c r="N7" s="2">
        <v>1</v>
      </c>
      <c r="O7" s="3">
        <f t="shared" si="8"/>
        <v>20</v>
      </c>
      <c r="P7" s="2"/>
      <c r="Q7" s="2"/>
      <c r="R7" s="2"/>
      <c r="S7" s="2"/>
      <c r="T7" s="2">
        <v>1</v>
      </c>
      <c r="U7" s="3">
        <f t="shared" si="3"/>
        <v>25</v>
      </c>
      <c r="V7" s="2"/>
      <c r="W7" s="2"/>
      <c r="X7" s="30">
        <f t="shared" si="1"/>
        <v>6</v>
      </c>
      <c r="Y7" s="6">
        <f t="shared" si="2"/>
        <v>15.789473684210526</v>
      </c>
    </row>
    <row r="8" spans="1:25" s="4" customFormat="1" ht="14.25" x14ac:dyDescent="0.2">
      <c r="A8" s="4" t="s">
        <v>33</v>
      </c>
      <c r="B8" s="5">
        <f t="shared" ref="B8:Y8" si="9">SUM(B1:B7)</f>
        <v>3</v>
      </c>
      <c r="C8" s="5">
        <f t="shared" si="9"/>
        <v>100</v>
      </c>
      <c r="D8" s="5">
        <f t="shared" si="9"/>
        <v>3</v>
      </c>
      <c r="E8" s="5">
        <f t="shared" si="9"/>
        <v>100</v>
      </c>
      <c r="F8" s="5">
        <f t="shared" si="9"/>
        <v>5</v>
      </c>
      <c r="G8" s="5">
        <f t="shared" si="9"/>
        <v>100</v>
      </c>
      <c r="H8" s="5">
        <f t="shared" si="9"/>
        <v>0</v>
      </c>
      <c r="I8" s="5">
        <f t="shared" si="9"/>
        <v>0</v>
      </c>
      <c r="J8" s="5">
        <f t="shared" si="9"/>
        <v>2</v>
      </c>
      <c r="K8" s="5">
        <f t="shared" si="9"/>
        <v>100</v>
      </c>
      <c r="L8" s="5">
        <f t="shared" si="9"/>
        <v>14</v>
      </c>
      <c r="M8" s="5">
        <f t="shared" si="9"/>
        <v>100</v>
      </c>
      <c r="N8" s="5">
        <f t="shared" si="9"/>
        <v>5</v>
      </c>
      <c r="O8" s="5">
        <f t="shared" si="9"/>
        <v>100</v>
      </c>
      <c r="P8" s="5">
        <f t="shared" si="9"/>
        <v>1</v>
      </c>
      <c r="Q8" s="5">
        <f t="shared" si="9"/>
        <v>100</v>
      </c>
      <c r="R8" s="29">
        <f t="shared" si="9"/>
        <v>1</v>
      </c>
      <c r="S8" s="29">
        <f t="shared" si="9"/>
        <v>100</v>
      </c>
      <c r="T8" s="29">
        <f t="shared" si="9"/>
        <v>4</v>
      </c>
      <c r="U8" s="29">
        <f t="shared" si="9"/>
        <v>100</v>
      </c>
      <c r="V8" s="5">
        <f t="shared" si="9"/>
        <v>0</v>
      </c>
      <c r="W8" s="5">
        <f t="shared" si="9"/>
        <v>0</v>
      </c>
      <c r="X8" s="5">
        <f t="shared" si="9"/>
        <v>38</v>
      </c>
      <c r="Y8" s="5">
        <f t="shared" si="9"/>
        <v>99.999999999999986</v>
      </c>
    </row>
    <row r="9" spans="1:25" x14ac:dyDescent="0.25">
      <c r="N9" s="2"/>
      <c r="O9" s="2"/>
      <c r="P9" s="2"/>
      <c r="Q9" s="2"/>
      <c r="R9" s="2"/>
      <c r="S9" s="2"/>
      <c r="T9" s="2"/>
      <c r="U9" s="2"/>
      <c r="V9" s="2"/>
      <c r="W9" s="2"/>
      <c r="X9" s="5"/>
      <c r="Y9" s="5"/>
    </row>
    <row r="15" spans="1:25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25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2:13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2:13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2:13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2:13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2:13" x14ac:dyDescent="0.2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2:13" x14ac:dyDescent="0.2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2:13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6" spans="2:13" x14ac:dyDescent="0.25">
      <c r="B26" s="1"/>
      <c r="C26" s="1"/>
    </row>
    <row r="27" spans="2:13" x14ac:dyDescent="0.25">
      <c r="B27" s="1"/>
      <c r="C27" s="1"/>
    </row>
    <row r="28" spans="2:13" x14ac:dyDescent="0.25">
      <c r="B28" s="1"/>
      <c r="C28" s="1"/>
    </row>
    <row r="29" spans="2:13" x14ac:dyDescent="0.25">
      <c r="B29" s="1"/>
      <c r="C29" s="1"/>
    </row>
  </sheetData>
  <mergeCells count="13">
    <mergeCell ref="J1:K1"/>
    <mergeCell ref="A1:A2"/>
    <mergeCell ref="B1:C1"/>
    <mergeCell ref="D1:E1"/>
    <mergeCell ref="F1:G1"/>
    <mergeCell ref="H1:I1"/>
    <mergeCell ref="X1:Y1"/>
    <mergeCell ref="L1:M1"/>
    <mergeCell ref="N1:O1"/>
    <mergeCell ref="P1:Q1"/>
    <mergeCell ref="V1:W1"/>
    <mergeCell ref="R1:S1"/>
    <mergeCell ref="T1:U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topLeftCell="A12" workbookViewId="0">
      <selection activeCell="A39" sqref="A39:XFD39"/>
    </sheetView>
  </sheetViews>
  <sheetFormatPr defaultRowHeight="15" x14ac:dyDescent="0.25"/>
  <cols>
    <col min="1" max="1" width="14.7109375" bestFit="1" customWidth="1"/>
    <col min="8" max="8" width="9.140625" style="32"/>
    <col min="257" max="257" width="14.7109375" bestFit="1" customWidth="1"/>
    <col min="513" max="513" width="14.7109375" bestFit="1" customWidth="1"/>
    <col min="769" max="769" width="14.7109375" bestFit="1" customWidth="1"/>
    <col min="1025" max="1025" width="14.7109375" bestFit="1" customWidth="1"/>
    <col min="1281" max="1281" width="14.7109375" bestFit="1" customWidth="1"/>
    <col min="1537" max="1537" width="14.7109375" bestFit="1" customWidth="1"/>
    <col min="1793" max="1793" width="14.7109375" bestFit="1" customWidth="1"/>
    <col min="2049" max="2049" width="14.7109375" bestFit="1" customWidth="1"/>
    <col min="2305" max="2305" width="14.7109375" bestFit="1" customWidth="1"/>
    <col min="2561" max="2561" width="14.7109375" bestFit="1" customWidth="1"/>
    <col min="2817" max="2817" width="14.7109375" bestFit="1" customWidth="1"/>
    <col min="3073" max="3073" width="14.7109375" bestFit="1" customWidth="1"/>
    <col min="3329" max="3329" width="14.7109375" bestFit="1" customWidth="1"/>
    <col min="3585" max="3585" width="14.7109375" bestFit="1" customWidth="1"/>
    <col min="3841" max="3841" width="14.7109375" bestFit="1" customWidth="1"/>
    <col min="4097" max="4097" width="14.7109375" bestFit="1" customWidth="1"/>
    <col min="4353" max="4353" width="14.7109375" bestFit="1" customWidth="1"/>
    <col min="4609" max="4609" width="14.7109375" bestFit="1" customWidth="1"/>
    <col min="4865" max="4865" width="14.7109375" bestFit="1" customWidth="1"/>
    <col min="5121" max="5121" width="14.7109375" bestFit="1" customWidth="1"/>
    <col min="5377" max="5377" width="14.7109375" bestFit="1" customWidth="1"/>
    <col min="5633" max="5633" width="14.7109375" bestFit="1" customWidth="1"/>
    <col min="5889" max="5889" width="14.7109375" bestFit="1" customWidth="1"/>
    <col min="6145" max="6145" width="14.7109375" bestFit="1" customWidth="1"/>
    <col min="6401" max="6401" width="14.7109375" bestFit="1" customWidth="1"/>
    <col min="6657" max="6657" width="14.7109375" bestFit="1" customWidth="1"/>
    <col min="6913" max="6913" width="14.7109375" bestFit="1" customWidth="1"/>
    <col min="7169" max="7169" width="14.7109375" bestFit="1" customWidth="1"/>
    <col min="7425" max="7425" width="14.7109375" bestFit="1" customWidth="1"/>
    <col min="7681" max="7681" width="14.7109375" bestFit="1" customWidth="1"/>
    <col min="7937" max="7937" width="14.7109375" bestFit="1" customWidth="1"/>
    <col min="8193" max="8193" width="14.7109375" bestFit="1" customWidth="1"/>
    <col min="8449" max="8449" width="14.7109375" bestFit="1" customWidth="1"/>
    <col min="8705" max="8705" width="14.7109375" bestFit="1" customWidth="1"/>
    <col min="8961" max="8961" width="14.7109375" bestFit="1" customWidth="1"/>
    <col min="9217" max="9217" width="14.7109375" bestFit="1" customWidth="1"/>
    <col min="9473" max="9473" width="14.7109375" bestFit="1" customWidth="1"/>
    <col min="9729" max="9729" width="14.7109375" bestFit="1" customWidth="1"/>
    <col min="9985" max="9985" width="14.7109375" bestFit="1" customWidth="1"/>
    <col min="10241" max="10241" width="14.7109375" bestFit="1" customWidth="1"/>
    <col min="10497" max="10497" width="14.7109375" bestFit="1" customWidth="1"/>
    <col min="10753" max="10753" width="14.7109375" bestFit="1" customWidth="1"/>
    <col min="11009" max="11009" width="14.7109375" bestFit="1" customWidth="1"/>
    <col min="11265" max="11265" width="14.7109375" bestFit="1" customWidth="1"/>
    <col min="11521" max="11521" width="14.7109375" bestFit="1" customWidth="1"/>
    <col min="11777" max="11777" width="14.7109375" bestFit="1" customWidth="1"/>
    <col min="12033" max="12033" width="14.7109375" bestFit="1" customWidth="1"/>
    <col min="12289" max="12289" width="14.7109375" bestFit="1" customWidth="1"/>
    <col min="12545" max="12545" width="14.7109375" bestFit="1" customWidth="1"/>
    <col min="12801" max="12801" width="14.7109375" bestFit="1" customWidth="1"/>
    <col min="13057" max="13057" width="14.7109375" bestFit="1" customWidth="1"/>
    <col min="13313" max="13313" width="14.7109375" bestFit="1" customWidth="1"/>
    <col min="13569" max="13569" width="14.7109375" bestFit="1" customWidth="1"/>
    <col min="13825" max="13825" width="14.7109375" bestFit="1" customWidth="1"/>
    <col min="14081" max="14081" width="14.7109375" bestFit="1" customWidth="1"/>
    <col min="14337" max="14337" width="14.7109375" bestFit="1" customWidth="1"/>
    <col min="14593" max="14593" width="14.7109375" bestFit="1" customWidth="1"/>
    <col min="14849" max="14849" width="14.7109375" bestFit="1" customWidth="1"/>
    <col min="15105" max="15105" width="14.7109375" bestFit="1" customWidth="1"/>
    <col min="15361" max="15361" width="14.7109375" bestFit="1" customWidth="1"/>
    <col min="15617" max="15617" width="14.7109375" bestFit="1" customWidth="1"/>
    <col min="15873" max="15873" width="14.7109375" bestFit="1" customWidth="1"/>
    <col min="16129" max="16129" width="14.7109375" bestFit="1" customWidth="1"/>
  </cols>
  <sheetData>
    <row r="1" spans="1:10" s="1" customFormat="1" ht="18.75" x14ac:dyDescent="0.3">
      <c r="A1" s="68" t="s">
        <v>164</v>
      </c>
      <c r="B1" s="68"/>
      <c r="C1" s="68"/>
      <c r="D1" s="68"/>
      <c r="E1" s="68"/>
      <c r="F1" s="68"/>
      <c r="G1" s="68"/>
      <c r="H1" s="68"/>
      <c r="I1" s="68"/>
      <c r="J1" s="68"/>
    </row>
    <row r="2" spans="1:10" x14ac:dyDescent="0.25">
      <c r="A2" s="67" t="s">
        <v>35</v>
      </c>
      <c r="B2" s="69" t="s">
        <v>36</v>
      </c>
      <c r="C2" s="69"/>
      <c r="D2" s="69"/>
      <c r="E2" s="69" t="s">
        <v>37</v>
      </c>
      <c r="F2" s="69"/>
      <c r="G2" s="69"/>
      <c r="H2" s="70" t="s">
        <v>38</v>
      </c>
      <c r="I2" s="69"/>
      <c r="J2" s="69"/>
    </row>
    <row r="3" spans="1:10" x14ac:dyDescent="0.25">
      <c r="A3" s="67"/>
      <c r="B3" s="5" t="s">
        <v>39</v>
      </c>
      <c r="C3" s="5" t="s">
        <v>40</v>
      </c>
      <c r="D3" s="5" t="s">
        <v>34</v>
      </c>
      <c r="E3" s="5" t="s">
        <v>39</v>
      </c>
      <c r="F3" s="5" t="s">
        <v>40</v>
      </c>
      <c r="G3" s="5" t="s">
        <v>34</v>
      </c>
      <c r="H3" s="31" t="s">
        <v>39</v>
      </c>
      <c r="I3" s="5" t="s">
        <v>40</v>
      </c>
      <c r="J3" s="5" t="s">
        <v>34</v>
      </c>
    </row>
    <row r="4" spans="1:10" x14ac:dyDescent="0.25">
      <c r="A4" s="1" t="s">
        <v>41</v>
      </c>
      <c r="B4" s="2"/>
      <c r="C4" s="2"/>
      <c r="D4" s="2"/>
      <c r="E4" s="2"/>
      <c r="F4" s="2"/>
      <c r="G4" s="2"/>
      <c r="H4" s="21">
        <v>12</v>
      </c>
      <c r="I4" s="2">
        <v>2</v>
      </c>
      <c r="J4" s="2">
        <v>2</v>
      </c>
    </row>
    <row r="5" spans="1:10" x14ac:dyDescent="0.25">
      <c r="A5" s="1" t="s">
        <v>42</v>
      </c>
      <c r="B5" s="2">
        <v>2</v>
      </c>
      <c r="C5" s="2">
        <v>1</v>
      </c>
      <c r="D5" s="2">
        <v>1</v>
      </c>
      <c r="E5" s="2">
        <v>1</v>
      </c>
      <c r="F5" s="2">
        <v>1</v>
      </c>
      <c r="G5" s="2">
        <v>1</v>
      </c>
      <c r="H5" s="21">
        <v>11</v>
      </c>
      <c r="I5" s="2">
        <v>1</v>
      </c>
      <c r="J5" s="2">
        <v>1</v>
      </c>
    </row>
    <row r="6" spans="1:10" x14ac:dyDescent="0.25">
      <c r="A6" s="1" t="s">
        <v>43</v>
      </c>
      <c r="B6" s="2">
        <v>3</v>
      </c>
      <c r="C6" s="2">
        <v>3</v>
      </c>
      <c r="D6" s="2">
        <v>2</v>
      </c>
      <c r="E6" s="2"/>
      <c r="F6" s="2"/>
      <c r="G6" s="2"/>
    </row>
    <row r="7" spans="1:10" x14ac:dyDescent="0.25">
      <c r="A7" s="1" t="s">
        <v>44</v>
      </c>
      <c r="B7" s="2">
        <v>4</v>
      </c>
      <c r="C7" s="2">
        <v>3</v>
      </c>
      <c r="D7" s="2">
        <v>3</v>
      </c>
      <c r="E7" s="2">
        <v>4</v>
      </c>
      <c r="F7" s="2">
        <v>3</v>
      </c>
      <c r="G7" s="2">
        <v>3</v>
      </c>
      <c r="H7" s="21">
        <v>1</v>
      </c>
      <c r="I7" s="2">
        <v>1</v>
      </c>
      <c r="J7" s="2">
        <v>1</v>
      </c>
    </row>
    <row r="8" spans="1:10" x14ac:dyDescent="0.25">
      <c r="A8" s="1" t="s">
        <v>45</v>
      </c>
      <c r="B8" s="2">
        <v>16</v>
      </c>
      <c r="C8" s="10">
        <v>13</v>
      </c>
      <c r="D8" s="10">
        <v>10</v>
      </c>
      <c r="E8" s="2">
        <v>9</v>
      </c>
      <c r="F8" s="10">
        <v>7</v>
      </c>
      <c r="G8" s="10">
        <v>4</v>
      </c>
      <c r="H8" s="21">
        <v>4</v>
      </c>
      <c r="I8" s="10">
        <v>4</v>
      </c>
      <c r="J8" s="10">
        <v>3</v>
      </c>
    </row>
    <row r="9" spans="1:10" x14ac:dyDescent="0.25">
      <c r="A9" s="1" t="s">
        <v>93</v>
      </c>
      <c r="B9" s="2"/>
      <c r="C9" s="10"/>
      <c r="D9" s="10"/>
      <c r="E9" s="2"/>
      <c r="F9" s="10"/>
      <c r="G9" s="10"/>
      <c r="H9" s="21"/>
      <c r="I9" s="10"/>
      <c r="J9" s="10"/>
    </row>
    <row r="10" spans="1:10" x14ac:dyDescent="0.25">
      <c r="A10" s="1" t="s">
        <v>46</v>
      </c>
      <c r="B10" s="2"/>
      <c r="C10" s="2"/>
      <c r="D10" s="2"/>
      <c r="E10" s="2"/>
      <c r="F10" s="2"/>
      <c r="G10" s="2"/>
      <c r="H10" s="21"/>
      <c r="I10" s="2"/>
      <c r="J10" s="2"/>
    </row>
    <row r="11" spans="1:10" x14ac:dyDescent="0.25">
      <c r="A11" s="1" t="s">
        <v>47</v>
      </c>
      <c r="B11" s="2"/>
      <c r="C11" s="2"/>
      <c r="D11" s="2"/>
      <c r="E11" s="2"/>
      <c r="F11" s="2"/>
      <c r="G11" s="2"/>
      <c r="H11" s="21"/>
      <c r="I11" s="2"/>
      <c r="J11" s="2"/>
    </row>
    <row r="12" spans="1:10" x14ac:dyDescent="0.25">
      <c r="A12" s="1" t="s">
        <v>48</v>
      </c>
      <c r="B12" s="2">
        <v>1</v>
      </c>
      <c r="C12" s="2">
        <v>1</v>
      </c>
      <c r="D12" s="2">
        <v>1</v>
      </c>
      <c r="E12" s="2"/>
      <c r="F12" s="2"/>
      <c r="G12" s="2"/>
      <c r="H12" s="21"/>
      <c r="I12" s="2"/>
      <c r="J12" s="2"/>
    </row>
    <row r="13" spans="1:10" x14ac:dyDescent="0.25">
      <c r="A13" s="1" t="s">
        <v>49</v>
      </c>
      <c r="B13" s="2"/>
      <c r="C13" s="2"/>
      <c r="D13" s="2"/>
      <c r="E13" s="2"/>
      <c r="F13" s="2"/>
      <c r="G13" s="2"/>
      <c r="H13" s="21"/>
      <c r="I13" s="2"/>
      <c r="J13" s="2"/>
    </row>
    <row r="14" spans="1:10" x14ac:dyDescent="0.25">
      <c r="A14" s="1" t="s">
        <v>50</v>
      </c>
      <c r="B14" s="2"/>
      <c r="C14" s="2"/>
      <c r="D14" s="2"/>
      <c r="E14" s="2"/>
      <c r="F14" s="2"/>
      <c r="G14" s="2"/>
      <c r="H14" s="21">
        <v>1</v>
      </c>
      <c r="I14" s="2">
        <v>1</v>
      </c>
      <c r="J14" s="2">
        <v>1</v>
      </c>
    </row>
    <row r="15" spans="1:10" x14ac:dyDescent="0.25">
      <c r="A15" s="1" t="s">
        <v>51</v>
      </c>
      <c r="B15" s="2"/>
      <c r="C15" s="2"/>
      <c r="D15" s="2"/>
      <c r="E15" s="2"/>
      <c r="F15" s="2"/>
      <c r="G15" s="2"/>
      <c r="H15" s="21"/>
      <c r="I15" s="2"/>
      <c r="J15" s="2"/>
    </row>
    <row r="16" spans="1:10" x14ac:dyDescent="0.25">
      <c r="A16" s="1" t="s">
        <v>94</v>
      </c>
      <c r="B16" s="2"/>
      <c r="C16" s="2"/>
      <c r="D16" s="2"/>
      <c r="E16" s="2"/>
      <c r="F16" s="2"/>
      <c r="G16" s="2"/>
      <c r="H16" s="21"/>
      <c r="I16" s="2"/>
      <c r="J16" s="2"/>
    </row>
    <row r="17" spans="1:10" x14ac:dyDescent="0.25">
      <c r="A17" s="1" t="s">
        <v>52</v>
      </c>
      <c r="B17" s="2"/>
      <c r="C17" s="2"/>
      <c r="D17" s="2"/>
      <c r="E17" s="2"/>
      <c r="F17" s="2"/>
      <c r="G17" s="2"/>
      <c r="H17" s="21"/>
      <c r="I17" s="2"/>
      <c r="J17" s="2"/>
    </row>
    <row r="18" spans="1:10" x14ac:dyDescent="0.25">
      <c r="A18" s="1" t="s">
        <v>53</v>
      </c>
      <c r="B18" s="2">
        <v>13</v>
      </c>
      <c r="C18" s="2">
        <v>4</v>
      </c>
      <c r="D18" s="2">
        <v>2</v>
      </c>
      <c r="E18" s="2">
        <v>20</v>
      </c>
      <c r="F18" s="2">
        <v>5</v>
      </c>
      <c r="G18" s="2">
        <v>3</v>
      </c>
      <c r="H18" s="21">
        <v>5</v>
      </c>
      <c r="I18" s="2">
        <v>1</v>
      </c>
      <c r="J18" s="2">
        <v>1</v>
      </c>
    </row>
    <row r="19" spans="1:10" x14ac:dyDescent="0.25">
      <c r="A19" s="1" t="s">
        <v>54</v>
      </c>
      <c r="B19" s="2">
        <v>1</v>
      </c>
      <c r="C19" s="2">
        <v>1</v>
      </c>
      <c r="D19" s="2">
        <v>1</v>
      </c>
      <c r="E19" s="2">
        <v>1</v>
      </c>
      <c r="F19" s="2">
        <v>1</v>
      </c>
      <c r="G19" s="2">
        <v>1</v>
      </c>
      <c r="H19" s="21"/>
      <c r="I19" s="2"/>
      <c r="J19" s="2"/>
    </row>
    <row r="20" spans="1:10" x14ac:dyDescent="0.25">
      <c r="A20" s="1" t="s">
        <v>55</v>
      </c>
      <c r="B20" s="2"/>
      <c r="C20" s="2"/>
      <c r="D20" s="2"/>
      <c r="E20" s="2">
        <v>4</v>
      </c>
      <c r="F20" s="2">
        <v>3</v>
      </c>
      <c r="G20" s="2">
        <v>3</v>
      </c>
      <c r="H20" s="21">
        <v>1</v>
      </c>
      <c r="I20" s="2">
        <v>1</v>
      </c>
      <c r="J20" s="2">
        <v>1</v>
      </c>
    </row>
    <row r="21" spans="1:10" x14ac:dyDescent="0.25">
      <c r="A21" s="1" t="s">
        <v>56</v>
      </c>
      <c r="B21" s="2">
        <v>2</v>
      </c>
      <c r="C21" s="2">
        <v>2</v>
      </c>
      <c r="D21" s="2">
        <v>2</v>
      </c>
      <c r="E21" s="2">
        <v>1</v>
      </c>
      <c r="F21" s="2">
        <v>1</v>
      </c>
      <c r="G21" s="2">
        <v>1</v>
      </c>
      <c r="H21" s="21"/>
      <c r="I21" s="2"/>
      <c r="J21" s="2"/>
    </row>
    <row r="22" spans="1:10" x14ac:dyDescent="0.25">
      <c r="A22" s="1" t="s">
        <v>57</v>
      </c>
      <c r="B22" s="2">
        <v>1</v>
      </c>
      <c r="C22" s="2">
        <v>1</v>
      </c>
      <c r="D22" s="2">
        <v>1</v>
      </c>
      <c r="E22" s="2"/>
      <c r="F22" s="2"/>
      <c r="G22" s="2"/>
      <c r="H22" s="21">
        <v>1</v>
      </c>
      <c r="I22" s="2">
        <v>1</v>
      </c>
      <c r="J22" s="2">
        <v>1</v>
      </c>
    </row>
    <row r="23" spans="1:10" x14ac:dyDescent="0.25">
      <c r="A23" s="1" t="s">
        <v>58</v>
      </c>
      <c r="B23" s="2"/>
      <c r="C23" s="2"/>
      <c r="D23" s="2"/>
      <c r="E23" s="2">
        <v>1</v>
      </c>
      <c r="F23" s="2">
        <v>1</v>
      </c>
      <c r="G23" s="2">
        <v>1</v>
      </c>
      <c r="H23" s="21"/>
      <c r="I23" s="2"/>
      <c r="J23" s="2"/>
    </row>
    <row r="24" spans="1:10" x14ac:dyDescent="0.25">
      <c r="A24" s="1" t="s">
        <v>59</v>
      </c>
      <c r="B24" s="2">
        <v>2</v>
      </c>
      <c r="C24" s="2">
        <v>2</v>
      </c>
      <c r="D24" s="2">
        <v>2</v>
      </c>
      <c r="E24" s="2">
        <v>1</v>
      </c>
      <c r="F24" s="2">
        <v>1</v>
      </c>
      <c r="G24" s="2">
        <v>1</v>
      </c>
      <c r="H24" s="21">
        <v>1</v>
      </c>
      <c r="I24" s="2">
        <v>1</v>
      </c>
      <c r="J24" s="2">
        <v>1</v>
      </c>
    </row>
    <row r="25" spans="1:10" x14ac:dyDescent="0.25">
      <c r="A25" s="1" t="s">
        <v>60</v>
      </c>
      <c r="B25" s="2"/>
      <c r="C25" s="2"/>
      <c r="D25" s="2"/>
      <c r="E25" s="2"/>
      <c r="F25" s="2"/>
      <c r="G25" s="2"/>
      <c r="H25" s="21"/>
      <c r="I25" s="2"/>
      <c r="J25" s="2"/>
    </row>
    <row r="26" spans="1:10" x14ac:dyDescent="0.25">
      <c r="A26" s="1" t="s">
        <v>61</v>
      </c>
      <c r="B26" s="2">
        <v>6</v>
      </c>
      <c r="C26" s="2">
        <v>6</v>
      </c>
      <c r="D26" s="2">
        <v>5</v>
      </c>
      <c r="E26" s="2">
        <v>4</v>
      </c>
      <c r="F26" s="2">
        <v>4</v>
      </c>
      <c r="G26" s="2">
        <v>3</v>
      </c>
      <c r="H26" s="21">
        <v>1</v>
      </c>
      <c r="I26" s="2">
        <v>1</v>
      </c>
      <c r="J26" s="2">
        <v>1</v>
      </c>
    </row>
    <row r="27" spans="1:10" x14ac:dyDescent="0.25">
      <c r="A27" s="1" t="s">
        <v>62</v>
      </c>
      <c r="B27" s="2">
        <v>1</v>
      </c>
      <c r="C27" s="2">
        <v>1</v>
      </c>
      <c r="D27" s="2">
        <v>1</v>
      </c>
      <c r="E27" s="2"/>
      <c r="F27" s="2"/>
      <c r="G27" s="2"/>
      <c r="H27" s="21"/>
      <c r="I27" s="2"/>
      <c r="J27" s="2"/>
    </row>
    <row r="28" spans="1:10" x14ac:dyDescent="0.25">
      <c r="A28" s="1" t="s">
        <v>63</v>
      </c>
      <c r="B28" s="2"/>
      <c r="C28" s="2"/>
      <c r="D28" s="2"/>
      <c r="E28" s="2"/>
      <c r="F28" s="2"/>
      <c r="G28" s="2"/>
      <c r="H28" s="21"/>
      <c r="I28" s="2"/>
      <c r="J28" s="2"/>
    </row>
    <row r="29" spans="1:10" x14ac:dyDescent="0.25">
      <c r="A29" s="1" t="s">
        <v>64</v>
      </c>
      <c r="B29" s="2"/>
      <c r="C29" s="2"/>
      <c r="D29" s="2"/>
      <c r="E29" s="2">
        <v>1</v>
      </c>
      <c r="F29" s="2">
        <v>1</v>
      </c>
      <c r="G29" s="2">
        <v>1</v>
      </c>
      <c r="H29" s="21">
        <v>1</v>
      </c>
      <c r="I29" s="2">
        <v>1</v>
      </c>
      <c r="J29" s="2">
        <v>1</v>
      </c>
    </row>
    <row r="30" spans="1:10" x14ac:dyDescent="0.25">
      <c r="A30" s="1" t="s">
        <v>65</v>
      </c>
      <c r="B30" s="2">
        <v>2</v>
      </c>
      <c r="C30" s="2">
        <v>2</v>
      </c>
      <c r="D30" s="2">
        <v>2</v>
      </c>
      <c r="E30" s="2"/>
      <c r="F30" s="2"/>
      <c r="G30" s="2"/>
      <c r="H30" s="21"/>
      <c r="I30" s="2"/>
      <c r="J30" s="2"/>
    </row>
    <row r="31" spans="1:10" x14ac:dyDescent="0.25">
      <c r="A31" s="1" t="s">
        <v>66</v>
      </c>
      <c r="B31" s="2"/>
      <c r="C31" s="2"/>
      <c r="D31" s="2"/>
      <c r="E31" s="2"/>
      <c r="F31" s="2"/>
      <c r="G31" s="2"/>
      <c r="H31" s="21">
        <v>1</v>
      </c>
      <c r="I31" s="2">
        <v>1</v>
      </c>
      <c r="J31" s="2">
        <v>1</v>
      </c>
    </row>
    <row r="32" spans="1:10" x14ac:dyDescent="0.25">
      <c r="A32" s="1" t="s">
        <v>67</v>
      </c>
      <c r="B32" s="2">
        <v>1</v>
      </c>
      <c r="C32" s="2">
        <v>1</v>
      </c>
      <c r="D32" s="2">
        <v>1</v>
      </c>
      <c r="E32" s="2">
        <v>3</v>
      </c>
      <c r="F32" s="2">
        <v>2</v>
      </c>
      <c r="G32" s="2">
        <v>2</v>
      </c>
      <c r="H32" s="21">
        <v>1</v>
      </c>
      <c r="I32" s="2">
        <v>1</v>
      </c>
      <c r="J32" s="2">
        <v>1</v>
      </c>
    </row>
    <row r="33" spans="1:10" x14ac:dyDescent="0.25">
      <c r="A33" s="1" t="s">
        <v>68</v>
      </c>
      <c r="B33" s="2">
        <v>1</v>
      </c>
      <c r="C33" s="2">
        <v>1</v>
      </c>
      <c r="D33" s="2">
        <v>1</v>
      </c>
      <c r="E33" s="2">
        <v>3</v>
      </c>
      <c r="F33" s="2">
        <v>2</v>
      </c>
      <c r="G33" s="2">
        <v>2</v>
      </c>
      <c r="H33" s="21">
        <v>2</v>
      </c>
      <c r="I33" s="2">
        <v>2</v>
      </c>
      <c r="J33" s="2">
        <v>2</v>
      </c>
    </row>
    <row r="34" spans="1:10" x14ac:dyDescent="0.25">
      <c r="A34" s="1" t="s">
        <v>69</v>
      </c>
      <c r="B34" s="2">
        <v>8</v>
      </c>
      <c r="C34" s="2">
        <v>5</v>
      </c>
      <c r="D34" s="2">
        <v>2</v>
      </c>
      <c r="E34" s="2"/>
      <c r="F34" s="2"/>
      <c r="G34" s="2"/>
      <c r="H34" s="21">
        <v>1</v>
      </c>
      <c r="I34" s="2">
        <v>1</v>
      </c>
      <c r="J34" s="2">
        <v>1</v>
      </c>
    </row>
    <row r="35" spans="1:10" x14ac:dyDescent="0.25">
      <c r="A35" s="1" t="s">
        <v>70</v>
      </c>
      <c r="B35" s="2">
        <v>1</v>
      </c>
      <c r="C35" s="2">
        <v>1</v>
      </c>
      <c r="D35" s="2">
        <v>1</v>
      </c>
      <c r="E35" s="2">
        <v>2</v>
      </c>
      <c r="F35" s="2">
        <v>2</v>
      </c>
      <c r="G35" s="2">
        <v>2</v>
      </c>
      <c r="H35" s="21">
        <v>3</v>
      </c>
      <c r="I35" s="2">
        <v>3</v>
      </c>
      <c r="J35" s="2">
        <v>1</v>
      </c>
    </row>
    <row r="36" spans="1:10" x14ac:dyDescent="0.25">
      <c r="A36" s="1" t="s">
        <v>71</v>
      </c>
      <c r="B36" s="2">
        <v>1</v>
      </c>
      <c r="C36" s="2">
        <v>1</v>
      </c>
      <c r="D36" s="2">
        <v>1</v>
      </c>
      <c r="E36" s="2"/>
      <c r="F36" s="2"/>
      <c r="G36" s="2"/>
      <c r="H36" s="21">
        <v>1</v>
      </c>
      <c r="I36" s="2">
        <v>1</v>
      </c>
      <c r="J36" s="2">
        <v>1</v>
      </c>
    </row>
    <row r="37" spans="1:10" x14ac:dyDescent="0.25">
      <c r="A37" s="1" t="s">
        <v>72</v>
      </c>
      <c r="B37" s="2">
        <v>1</v>
      </c>
      <c r="C37" s="2">
        <v>1</v>
      </c>
      <c r="D37" s="2">
        <v>1</v>
      </c>
      <c r="E37" s="2"/>
      <c r="F37" s="2"/>
      <c r="G37" s="2"/>
      <c r="H37" s="24">
        <v>1</v>
      </c>
      <c r="I37" s="17">
        <v>1</v>
      </c>
      <c r="J37" s="17">
        <v>1</v>
      </c>
    </row>
    <row r="38" spans="1:10" x14ac:dyDescent="0.25">
      <c r="A38" s="1" t="s">
        <v>73</v>
      </c>
      <c r="H38" s="21">
        <v>1</v>
      </c>
      <c r="I38" s="2">
        <v>1</v>
      </c>
      <c r="J38" s="2">
        <v>1</v>
      </c>
    </row>
    <row r="39" spans="1:10" s="18" customFormat="1" x14ac:dyDescent="0.25">
      <c r="A39" s="4" t="s">
        <v>74</v>
      </c>
      <c r="B39" s="51">
        <f>SUM(B2:B37)</f>
        <v>67</v>
      </c>
      <c r="C39" s="51">
        <f>SUM(C2:C37)</f>
        <v>50</v>
      </c>
      <c r="D39" s="51"/>
      <c r="E39" s="51">
        <f>SUM(E2:E37)</f>
        <v>55</v>
      </c>
      <c r="F39" s="51">
        <f>SUM(F2:F37)</f>
        <v>34</v>
      </c>
      <c r="G39" s="51"/>
      <c r="H39" s="54">
        <f>SUM(H2:H38)</f>
        <v>50</v>
      </c>
      <c r="I39" s="51">
        <f>SUM(I2:I38)</f>
        <v>26</v>
      </c>
      <c r="J39" s="51"/>
    </row>
  </sheetData>
  <mergeCells count="5">
    <mergeCell ref="A1:J1"/>
    <mergeCell ref="A2:A3"/>
    <mergeCell ref="B2:D2"/>
    <mergeCell ref="E2:G2"/>
    <mergeCell ref="H2:J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workbookViewId="0">
      <selection activeCell="C6" sqref="C6"/>
    </sheetView>
  </sheetViews>
  <sheetFormatPr defaultRowHeight="15" x14ac:dyDescent="0.25"/>
  <cols>
    <col min="1" max="1" width="15.140625" style="16" bestFit="1" customWidth="1"/>
    <col min="2" max="7" width="9.140625" style="2"/>
    <col min="8" max="9" width="9.140625" style="1"/>
    <col min="10" max="10" width="19.28515625" style="1" bestFit="1" customWidth="1"/>
    <col min="11" max="16384" width="9.140625" style="1"/>
  </cols>
  <sheetData>
    <row r="1" spans="1:9" ht="18.75" x14ac:dyDescent="0.3">
      <c r="A1" s="65" t="s">
        <v>164</v>
      </c>
      <c r="B1" s="65"/>
      <c r="C1" s="65"/>
      <c r="D1" s="65"/>
      <c r="E1" s="65"/>
      <c r="F1" s="65"/>
      <c r="G1" s="65"/>
      <c r="H1" s="65"/>
      <c r="I1" s="65"/>
    </row>
    <row r="2" spans="1:9" s="13" customFormat="1" ht="28.5" x14ac:dyDescent="0.25">
      <c r="A2" s="52" t="s">
        <v>11</v>
      </c>
      <c r="B2" s="11" t="s">
        <v>75</v>
      </c>
      <c r="C2" s="12" t="s">
        <v>76</v>
      </c>
      <c r="D2" s="11" t="s">
        <v>77</v>
      </c>
      <c r="E2" s="11" t="s">
        <v>78</v>
      </c>
      <c r="F2" s="11" t="s">
        <v>79</v>
      </c>
      <c r="G2" s="12" t="s">
        <v>80</v>
      </c>
      <c r="H2" s="11" t="s">
        <v>81</v>
      </c>
      <c r="I2" s="12" t="s">
        <v>74</v>
      </c>
    </row>
    <row r="3" spans="1:9" x14ac:dyDescent="0.25">
      <c r="A3" s="14" t="s">
        <v>26</v>
      </c>
      <c r="B3" s="2">
        <v>5</v>
      </c>
      <c r="C3" s="2">
        <v>1</v>
      </c>
      <c r="E3" s="15">
        <v>4</v>
      </c>
      <c r="F3" s="2">
        <v>4</v>
      </c>
      <c r="G3" s="2">
        <v>2</v>
      </c>
      <c r="H3" s="2">
        <v>2</v>
      </c>
      <c r="I3" s="51">
        <f>SUM(B3:H3)</f>
        <v>18</v>
      </c>
    </row>
    <row r="4" spans="1:9" x14ac:dyDescent="0.25">
      <c r="A4" s="14" t="s">
        <v>28</v>
      </c>
      <c r="B4" s="2">
        <v>3</v>
      </c>
      <c r="C4" s="2">
        <v>1</v>
      </c>
      <c r="E4" s="2">
        <v>3</v>
      </c>
      <c r="F4" s="2">
        <v>1</v>
      </c>
      <c r="H4" s="2">
        <v>2</v>
      </c>
      <c r="I4" s="51">
        <f t="shared" ref="I4:I5" si="0">SUM(B4:H4)</f>
        <v>10</v>
      </c>
    </row>
    <row r="5" spans="1:9" x14ac:dyDescent="0.25">
      <c r="A5" s="14" t="s">
        <v>29</v>
      </c>
      <c r="D5" s="2">
        <v>1</v>
      </c>
      <c r="E5" s="2">
        <v>1</v>
      </c>
      <c r="H5" s="2">
        <v>4</v>
      </c>
      <c r="I5" s="51">
        <f t="shared" si="0"/>
        <v>6</v>
      </c>
    </row>
  </sheetData>
  <mergeCells count="1">
    <mergeCell ref="A1:I1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E13" sqref="E13"/>
    </sheetView>
  </sheetViews>
  <sheetFormatPr defaultRowHeight="15" x14ac:dyDescent="0.25"/>
  <cols>
    <col min="1" max="1" width="13.85546875" style="1" bestFit="1" customWidth="1"/>
    <col min="2" max="3" width="9.140625" style="2"/>
    <col min="4" max="16384" width="9.140625" style="1"/>
  </cols>
  <sheetData>
    <row r="1" spans="1:3" ht="18.75" x14ac:dyDescent="0.3">
      <c r="A1" s="65" t="s">
        <v>162</v>
      </c>
      <c r="B1" s="65"/>
      <c r="C1" s="65"/>
    </row>
    <row r="2" spans="1:3" x14ac:dyDescent="0.25">
      <c r="B2" s="2" t="s">
        <v>82</v>
      </c>
      <c r="C2" s="2" t="s">
        <v>1</v>
      </c>
    </row>
    <row r="3" spans="1:3" x14ac:dyDescent="0.25">
      <c r="A3" s="1" t="s">
        <v>103</v>
      </c>
      <c r="B3" s="2">
        <v>14</v>
      </c>
      <c r="C3" s="3">
        <f>B3/821%</f>
        <v>1.7052375152253347</v>
      </c>
    </row>
    <row r="4" spans="1:3" x14ac:dyDescent="0.25">
      <c r="A4" s="1" t="s">
        <v>153</v>
      </c>
      <c r="B4" s="2">
        <v>83</v>
      </c>
      <c r="C4" s="3">
        <f t="shared" ref="C4:C7" si="0">B4/821%</f>
        <v>10.109622411693056</v>
      </c>
    </row>
    <row r="5" spans="1:3" x14ac:dyDescent="0.25">
      <c r="A5" s="1" t="s">
        <v>127</v>
      </c>
      <c r="B5" s="2">
        <v>192</v>
      </c>
      <c r="C5" s="3">
        <f t="shared" si="0"/>
        <v>23.386114494518878</v>
      </c>
    </row>
    <row r="6" spans="1:3" x14ac:dyDescent="0.25">
      <c r="A6" s="1" t="s">
        <v>83</v>
      </c>
      <c r="B6" s="2">
        <v>43</v>
      </c>
      <c r="C6" s="3">
        <f t="shared" si="0"/>
        <v>5.2375152253349571</v>
      </c>
    </row>
    <row r="7" spans="1:3" x14ac:dyDescent="0.25">
      <c r="A7" s="1" t="s">
        <v>84</v>
      </c>
      <c r="B7" s="2">
        <v>489</v>
      </c>
      <c r="C7" s="3">
        <f t="shared" si="0"/>
        <v>59.561510353227767</v>
      </c>
    </row>
    <row r="8" spans="1:3" x14ac:dyDescent="0.25">
      <c r="A8" s="4" t="s">
        <v>33</v>
      </c>
      <c r="B8" s="2">
        <f t="shared" ref="B8:C8" si="1">SUM(B3:B7)</f>
        <v>821</v>
      </c>
      <c r="C8" s="2">
        <f t="shared" si="1"/>
        <v>100</v>
      </c>
    </row>
  </sheetData>
  <mergeCells count="1">
    <mergeCell ref="A1:C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zoomScale="70" zoomScaleNormal="70" workbookViewId="0">
      <selection activeCell="P16" sqref="P16"/>
    </sheetView>
  </sheetViews>
  <sheetFormatPr defaultRowHeight="15" x14ac:dyDescent="0.25"/>
  <cols>
    <col min="1" max="1" width="24.42578125" style="1" bestFit="1" customWidth="1"/>
    <col min="2" max="11" width="7.7109375" style="2" customWidth="1"/>
    <col min="12" max="13" width="9.28515625" style="4" customWidth="1"/>
    <col min="14" max="16384" width="9.140625" style="1"/>
  </cols>
  <sheetData>
    <row r="1" spans="1:13" s="4" customFormat="1" ht="14.25" x14ac:dyDescent="0.2">
      <c r="A1" s="67" t="s">
        <v>11</v>
      </c>
      <c r="B1" s="66" t="s">
        <v>103</v>
      </c>
      <c r="C1" s="66"/>
      <c r="D1" s="66" t="s">
        <v>153</v>
      </c>
      <c r="E1" s="66"/>
      <c r="F1" s="66" t="s">
        <v>127</v>
      </c>
      <c r="G1" s="66"/>
      <c r="H1" s="66" t="s">
        <v>83</v>
      </c>
      <c r="I1" s="66"/>
      <c r="J1" s="66" t="s">
        <v>84</v>
      </c>
      <c r="K1" s="66"/>
      <c r="L1" s="66" t="s">
        <v>85</v>
      </c>
      <c r="M1" s="66"/>
    </row>
    <row r="2" spans="1:13" s="4" customFormat="1" ht="14.25" x14ac:dyDescent="0.2">
      <c r="A2" s="67"/>
      <c r="B2" s="5" t="s">
        <v>0</v>
      </c>
      <c r="C2" s="5" t="s">
        <v>1</v>
      </c>
      <c r="D2" s="5" t="s">
        <v>0</v>
      </c>
      <c r="E2" s="5" t="s">
        <v>1</v>
      </c>
      <c r="F2" s="5" t="s">
        <v>0</v>
      </c>
      <c r="G2" s="5" t="s">
        <v>1</v>
      </c>
      <c r="H2" s="5" t="s">
        <v>0</v>
      </c>
      <c r="I2" s="5" t="s">
        <v>1</v>
      </c>
      <c r="J2" s="5" t="s">
        <v>0</v>
      </c>
      <c r="K2" s="5" t="s">
        <v>1</v>
      </c>
      <c r="L2" s="51" t="s">
        <v>0</v>
      </c>
      <c r="M2" s="51" t="s">
        <v>1</v>
      </c>
    </row>
    <row r="3" spans="1:13" x14ac:dyDescent="0.25">
      <c r="A3" s="1" t="s">
        <v>13</v>
      </c>
      <c r="F3" s="2">
        <v>1</v>
      </c>
      <c r="G3" s="3">
        <f t="shared" ref="G3:G21" si="0">F3/192%</f>
        <v>0.52083333333333337</v>
      </c>
      <c r="I3" s="3"/>
      <c r="J3" s="2">
        <v>11</v>
      </c>
      <c r="K3" s="3">
        <f t="shared" ref="K3:K14" si="1">J3/489%</f>
        <v>2.2494887525562373</v>
      </c>
      <c r="L3" s="51">
        <f>SUM(B3,D3,F3,H3,J3)</f>
        <v>12</v>
      </c>
      <c r="M3" s="6">
        <f>L3/821%</f>
        <v>1.4616321559074299</v>
      </c>
    </row>
    <row r="4" spans="1:13" x14ac:dyDescent="0.25">
      <c r="A4" s="1" t="s">
        <v>16</v>
      </c>
      <c r="G4" s="3"/>
      <c r="I4" s="3"/>
      <c r="J4" s="2">
        <v>7</v>
      </c>
      <c r="K4" s="3">
        <f t="shared" si="1"/>
        <v>1.4314928425357873</v>
      </c>
      <c r="L4" s="51">
        <f t="shared" ref="L4:L22" si="2">SUM(B4,D4,F4,H4,J4)</f>
        <v>7</v>
      </c>
      <c r="M4" s="6">
        <f t="shared" ref="M4:M22" si="3">L4/821%</f>
        <v>0.85261875761266737</v>
      </c>
    </row>
    <row r="5" spans="1:13" x14ac:dyDescent="0.25">
      <c r="A5" s="1" t="s">
        <v>15</v>
      </c>
      <c r="D5" s="2">
        <v>1</v>
      </c>
      <c r="E5" s="3">
        <f>D5/83%</f>
        <v>1.2048192771084338</v>
      </c>
      <c r="G5" s="3"/>
      <c r="I5" s="3"/>
      <c r="K5" s="3"/>
      <c r="L5" s="51">
        <f t="shared" si="2"/>
        <v>1</v>
      </c>
      <c r="M5" s="6">
        <f t="shared" si="3"/>
        <v>0.12180267965895249</v>
      </c>
    </row>
    <row r="6" spans="1:13" x14ac:dyDescent="0.25">
      <c r="A6" s="1" t="s">
        <v>17</v>
      </c>
      <c r="F6" s="2">
        <v>1</v>
      </c>
      <c r="G6" s="3">
        <f t="shared" si="0"/>
        <v>0.52083333333333337</v>
      </c>
      <c r="I6" s="3"/>
      <c r="K6" s="3"/>
      <c r="L6" s="51">
        <f t="shared" si="2"/>
        <v>1</v>
      </c>
      <c r="M6" s="6">
        <f t="shared" si="3"/>
        <v>0.12180267965895249</v>
      </c>
    </row>
    <row r="7" spans="1:13" x14ac:dyDescent="0.25">
      <c r="A7" s="1" t="s">
        <v>86</v>
      </c>
      <c r="E7" s="3"/>
      <c r="F7" s="2">
        <v>1</v>
      </c>
      <c r="G7" s="3">
        <f t="shared" si="0"/>
        <v>0.52083333333333337</v>
      </c>
      <c r="I7" s="3"/>
      <c r="K7" s="3"/>
      <c r="L7" s="51">
        <f t="shared" si="2"/>
        <v>1</v>
      </c>
      <c r="M7" s="6">
        <f t="shared" si="3"/>
        <v>0.12180267965895249</v>
      </c>
    </row>
    <row r="8" spans="1:13" x14ac:dyDescent="0.25">
      <c r="A8" s="1" t="s">
        <v>18</v>
      </c>
      <c r="C8" s="3"/>
      <c r="D8" s="2">
        <v>1</v>
      </c>
      <c r="E8" s="3">
        <f>D8/83%</f>
        <v>1.2048192771084338</v>
      </c>
      <c r="F8" s="2">
        <v>1</v>
      </c>
      <c r="G8" s="3">
        <f t="shared" si="0"/>
        <v>0.52083333333333337</v>
      </c>
      <c r="I8" s="3"/>
      <c r="J8" s="2">
        <v>4</v>
      </c>
      <c r="K8" s="3">
        <f t="shared" si="1"/>
        <v>0.81799591002044991</v>
      </c>
      <c r="L8" s="51">
        <f t="shared" si="2"/>
        <v>6</v>
      </c>
      <c r="M8" s="6">
        <f t="shared" si="3"/>
        <v>0.73081607795371495</v>
      </c>
    </row>
    <row r="9" spans="1:13" x14ac:dyDescent="0.25">
      <c r="A9" s="7" t="s">
        <v>20</v>
      </c>
      <c r="C9" s="3"/>
      <c r="D9" s="2">
        <v>1</v>
      </c>
      <c r="E9" s="3">
        <f>D9/83%</f>
        <v>1.2048192771084338</v>
      </c>
      <c r="G9" s="3"/>
      <c r="H9" s="1"/>
      <c r="I9" s="3"/>
      <c r="J9" s="1"/>
      <c r="K9" s="1"/>
      <c r="L9" s="51">
        <f>SUM(B9,D9,F9,H9,J9)</f>
        <v>1</v>
      </c>
      <c r="M9" s="6">
        <f t="shared" si="3"/>
        <v>0.12180267965895249</v>
      </c>
    </row>
    <row r="10" spans="1:13" x14ac:dyDescent="0.25">
      <c r="A10" s="1" t="s">
        <v>87</v>
      </c>
      <c r="C10" s="3"/>
      <c r="G10" s="3"/>
      <c r="H10" s="2">
        <v>1</v>
      </c>
      <c r="I10" s="3">
        <f t="shared" ref="I10:I17" si="4">H10/43%</f>
        <v>2.3255813953488373</v>
      </c>
      <c r="J10" s="2">
        <v>1</v>
      </c>
      <c r="K10" s="3">
        <f>J10/489%</f>
        <v>0.20449897750511248</v>
      </c>
      <c r="L10" s="51">
        <f>SUM(B10,D10,F10,H10,J10)</f>
        <v>2</v>
      </c>
      <c r="M10" s="6">
        <f t="shared" si="3"/>
        <v>0.24360535931790497</v>
      </c>
    </row>
    <row r="11" spans="1:13" x14ac:dyDescent="0.25">
      <c r="A11" s="7" t="s">
        <v>21</v>
      </c>
      <c r="C11" s="3"/>
      <c r="G11" s="3"/>
      <c r="I11" s="3"/>
      <c r="J11" s="2">
        <v>8</v>
      </c>
      <c r="K11" s="3">
        <f t="shared" si="1"/>
        <v>1.6359918200408998</v>
      </c>
      <c r="L11" s="51">
        <f t="shared" si="2"/>
        <v>8</v>
      </c>
      <c r="M11" s="6">
        <f t="shared" si="3"/>
        <v>0.97442143727161989</v>
      </c>
    </row>
    <row r="12" spans="1:13" x14ac:dyDescent="0.25">
      <c r="A12" s="1" t="s">
        <v>22</v>
      </c>
      <c r="C12" s="3"/>
      <c r="F12" s="2">
        <v>5</v>
      </c>
      <c r="G12" s="3">
        <f t="shared" si="0"/>
        <v>2.604166666666667</v>
      </c>
      <c r="I12" s="3"/>
      <c r="K12" s="3"/>
      <c r="L12" s="51">
        <f t="shared" si="2"/>
        <v>5</v>
      </c>
      <c r="M12" s="6">
        <f t="shared" si="3"/>
        <v>0.60901339829476242</v>
      </c>
    </row>
    <row r="13" spans="1:13" x14ac:dyDescent="0.25">
      <c r="A13" s="1" t="s">
        <v>88</v>
      </c>
      <c r="C13" s="3"/>
      <c r="G13" s="3"/>
      <c r="I13" s="3"/>
      <c r="J13" s="2">
        <v>1</v>
      </c>
      <c r="K13" s="3">
        <f t="shared" si="1"/>
        <v>0.20449897750511248</v>
      </c>
      <c r="L13" s="51">
        <f t="shared" si="2"/>
        <v>1</v>
      </c>
      <c r="M13" s="6">
        <f t="shared" si="3"/>
        <v>0.12180267965895249</v>
      </c>
    </row>
    <row r="14" spans="1:13" x14ac:dyDescent="0.25">
      <c r="A14" s="7" t="s">
        <v>25</v>
      </c>
      <c r="C14" s="3"/>
      <c r="G14" s="3"/>
      <c r="I14" s="3"/>
      <c r="J14" s="2">
        <v>1</v>
      </c>
      <c r="K14" s="3">
        <f t="shared" si="1"/>
        <v>0.20449897750511248</v>
      </c>
      <c r="L14" s="51">
        <f t="shared" si="2"/>
        <v>1</v>
      </c>
      <c r="M14" s="6">
        <f t="shared" si="3"/>
        <v>0.12180267965895249</v>
      </c>
    </row>
    <row r="15" spans="1:13" x14ac:dyDescent="0.25">
      <c r="A15" s="7" t="s">
        <v>26</v>
      </c>
      <c r="B15" s="2">
        <v>2</v>
      </c>
      <c r="C15" s="3">
        <f>B15/14%</f>
        <v>14.285714285714285</v>
      </c>
      <c r="D15" s="2">
        <v>16</v>
      </c>
      <c r="E15" s="3">
        <f>D15/83%</f>
        <v>19.277108433734941</v>
      </c>
      <c r="F15" s="2">
        <v>18</v>
      </c>
      <c r="G15" s="3">
        <f t="shared" si="0"/>
        <v>9.375</v>
      </c>
      <c r="H15" s="2">
        <v>2</v>
      </c>
      <c r="I15" s="3">
        <f t="shared" si="4"/>
        <v>4.6511627906976747</v>
      </c>
      <c r="J15" s="2">
        <v>91</v>
      </c>
      <c r="K15" s="3">
        <f>J15/489%</f>
        <v>18.609406952965237</v>
      </c>
      <c r="L15" s="51">
        <f t="shared" si="2"/>
        <v>129</v>
      </c>
      <c r="M15" s="6">
        <f t="shared" si="3"/>
        <v>15.71254567600487</v>
      </c>
    </row>
    <row r="16" spans="1:13" x14ac:dyDescent="0.25">
      <c r="A16" s="7" t="s">
        <v>27</v>
      </c>
      <c r="C16" s="3"/>
      <c r="D16" s="2">
        <v>1</v>
      </c>
      <c r="E16" s="3">
        <f t="shared" ref="E16:E22" si="5">D16/83%</f>
        <v>1.2048192771084338</v>
      </c>
      <c r="G16" s="3"/>
      <c r="I16" s="3"/>
      <c r="K16" s="3"/>
      <c r="L16" s="51">
        <f t="shared" si="2"/>
        <v>1</v>
      </c>
      <c r="M16" s="6">
        <f t="shared" si="3"/>
        <v>0.12180267965895249</v>
      </c>
    </row>
    <row r="17" spans="1:13" x14ac:dyDescent="0.25">
      <c r="A17" s="7" t="s">
        <v>28</v>
      </c>
      <c r="B17" s="2">
        <v>3</v>
      </c>
      <c r="C17" s="3">
        <f t="shared" ref="C17:C22" si="6">B17/14%</f>
        <v>21.428571428571427</v>
      </c>
      <c r="D17" s="2">
        <v>18</v>
      </c>
      <c r="E17" s="3">
        <f t="shared" si="5"/>
        <v>21.686746987951807</v>
      </c>
      <c r="F17" s="2">
        <v>5</v>
      </c>
      <c r="G17" s="3">
        <f t="shared" si="0"/>
        <v>2.604166666666667</v>
      </c>
      <c r="H17" s="2">
        <v>4</v>
      </c>
      <c r="I17" s="3">
        <f t="shared" si="4"/>
        <v>9.3023255813953494</v>
      </c>
      <c r="J17" s="2">
        <v>77</v>
      </c>
      <c r="K17" s="3">
        <f t="shared" ref="K17:K22" si="7">J17/489%</f>
        <v>15.746421267893661</v>
      </c>
      <c r="L17" s="51">
        <f t="shared" si="2"/>
        <v>107</v>
      </c>
      <c r="M17" s="6">
        <f t="shared" si="3"/>
        <v>13.032886723507916</v>
      </c>
    </row>
    <row r="18" spans="1:13" x14ac:dyDescent="0.25">
      <c r="A18" s="7" t="s">
        <v>29</v>
      </c>
      <c r="C18" s="3"/>
      <c r="D18" s="2">
        <v>2</v>
      </c>
      <c r="E18" s="3">
        <f t="shared" si="5"/>
        <v>2.4096385542168677</v>
      </c>
      <c r="F18" s="2">
        <v>3</v>
      </c>
      <c r="G18" s="3">
        <f t="shared" si="0"/>
        <v>1.5625</v>
      </c>
      <c r="I18" s="3"/>
      <c r="J18" s="2">
        <v>63</v>
      </c>
      <c r="K18" s="3">
        <f t="shared" si="7"/>
        <v>12.883435582822086</v>
      </c>
      <c r="L18" s="51">
        <f t="shared" si="2"/>
        <v>68</v>
      </c>
      <c r="M18" s="6">
        <f t="shared" si="3"/>
        <v>8.2825822168087697</v>
      </c>
    </row>
    <row r="19" spans="1:13" x14ac:dyDescent="0.25">
      <c r="A19" s="1" t="s">
        <v>89</v>
      </c>
      <c r="C19" s="3"/>
      <c r="E19" s="3"/>
      <c r="G19" s="3"/>
      <c r="I19" s="3"/>
      <c r="J19" s="2">
        <v>1</v>
      </c>
      <c r="K19" s="3">
        <f t="shared" si="7"/>
        <v>0.20449897750511248</v>
      </c>
      <c r="L19" s="51">
        <f t="shared" si="2"/>
        <v>1</v>
      </c>
      <c r="M19" s="6">
        <f t="shared" si="3"/>
        <v>0.12180267965895249</v>
      </c>
    </row>
    <row r="20" spans="1:13" x14ac:dyDescent="0.25">
      <c r="A20" s="1" t="s">
        <v>30</v>
      </c>
      <c r="B20" s="2">
        <v>1</v>
      </c>
      <c r="C20" s="3">
        <f t="shared" si="6"/>
        <v>7.1428571428571423</v>
      </c>
      <c r="D20" s="2">
        <v>10</v>
      </c>
      <c r="E20" s="3">
        <f t="shared" si="5"/>
        <v>12.048192771084338</v>
      </c>
      <c r="F20" s="2">
        <v>5</v>
      </c>
      <c r="G20" s="3">
        <f t="shared" si="0"/>
        <v>2.604166666666667</v>
      </c>
      <c r="I20" s="3"/>
      <c r="J20" s="2">
        <v>15</v>
      </c>
      <c r="K20" s="3">
        <f t="shared" si="7"/>
        <v>3.0674846625766872</v>
      </c>
      <c r="L20" s="51">
        <f t="shared" si="2"/>
        <v>31</v>
      </c>
      <c r="M20" s="6">
        <f t="shared" si="3"/>
        <v>3.7758830694275272</v>
      </c>
    </row>
    <row r="21" spans="1:13" x14ac:dyDescent="0.25">
      <c r="A21" s="1" t="s">
        <v>31</v>
      </c>
      <c r="C21" s="3"/>
      <c r="D21" s="2">
        <v>2</v>
      </c>
      <c r="E21" s="3">
        <f t="shared" si="5"/>
        <v>2.4096385542168677</v>
      </c>
      <c r="F21" s="2">
        <v>2</v>
      </c>
      <c r="G21" s="3">
        <f t="shared" si="0"/>
        <v>1.0416666666666667</v>
      </c>
      <c r="I21" s="3"/>
      <c r="J21" s="2">
        <v>5</v>
      </c>
      <c r="K21" s="3">
        <f t="shared" si="7"/>
        <v>1.0224948875255624</v>
      </c>
      <c r="L21" s="51">
        <f t="shared" si="2"/>
        <v>9</v>
      </c>
      <c r="M21" s="6">
        <f t="shared" si="3"/>
        <v>1.0962241169305724</v>
      </c>
    </row>
    <row r="22" spans="1:13" x14ac:dyDescent="0.25">
      <c r="A22" s="1" t="s">
        <v>32</v>
      </c>
      <c r="B22" s="2">
        <v>8</v>
      </c>
      <c r="C22" s="3">
        <f t="shared" si="6"/>
        <v>57.142857142857139</v>
      </c>
      <c r="D22" s="2">
        <v>31</v>
      </c>
      <c r="E22" s="3">
        <f t="shared" si="5"/>
        <v>37.349397590361448</v>
      </c>
      <c r="F22" s="2">
        <v>150</v>
      </c>
      <c r="G22" s="3">
        <f>F22/192%</f>
        <v>78.125</v>
      </c>
      <c r="H22" s="2">
        <v>36</v>
      </c>
      <c r="I22" s="3">
        <f>H22/43%</f>
        <v>83.720930232558146</v>
      </c>
      <c r="J22" s="2">
        <v>204</v>
      </c>
      <c r="K22" s="3">
        <f t="shared" si="7"/>
        <v>41.717791411042946</v>
      </c>
      <c r="L22" s="51">
        <f t="shared" si="2"/>
        <v>429</v>
      </c>
      <c r="M22" s="6">
        <f t="shared" si="3"/>
        <v>52.253349573690613</v>
      </c>
    </row>
    <row r="23" spans="1:13" s="4" customFormat="1" ht="14.25" x14ac:dyDescent="0.2">
      <c r="A23" s="4" t="s">
        <v>33</v>
      </c>
      <c r="B23" s="5">
        <f t="shared" ref="B23:M23" si="8">SUM(B1:B22)</f>
        <v>14</v>
      </c>
      <c r="C23" s="5">
        <f t="shared" si="8"/>
        <v>99.999999999999986</v>
      </c>
      <c r="D23" s="5">
        <f t="shared" si="8"/>
        <v>83</v>
      </c>
      <c r="E23" s="5">
        <f t="shared" si="8"/>
        <v>100</v>
      </c>
      <c r="F23" s="5">
        <f t="shared" si="8"/>
        <v>192</v>
      </c>
      <c r="G23" s="5">
        <f t="shared" si="8"/>
        <v>100</v>
      </c>
      <c r="H23" s="5">
        <f t="shared" si="8"/>
        <v>43</v>
      </c>
      <c r="I23" s="5">
        <f t="shared" si="8"/>
        <v>100</v>
      </c>
      <c r="J23" s="5">
        <f t="shared" si="8"/>
        <v>489</v>
      </c>
      <c r="K23" s="5">
        <f t="shared" si="8"/>
        <v>100</v>
      </c>
      <c r="L23" s="51">
        <f t="shared" si="8"/>
        <v>821</v>
      </c>
      <c r="M23" s="51">
        <f t="shared" si="8"/>
        <v>100</v>
      </c>
    </row>
    <row r="24" spans="1:13" x14ac:dyDescent="0.25">
      <c r="L24" s="51"/>
      <c r="M24" s="51"/>
    </row>
    <row r="27" spans="1:13" x14ac:dyDescent="0.25">
      <c r="A27" s="9"/>
    </row>
    <row r="30" spans="1:13" x14ac:dyDescent="0.25">
      <c r="B30" s="1"/>
      <c r="C30" s="1" t="s">
        <v>85</v>
      </c>
      <c r="D30" s="1"/>
      <c r="E30" s="1"/>
      <c r="F30" s="1"/>
      <c r="G30" s="1"/>
      <c r="H30" s="1"/>
      <c r="I30" s="1"/>
      <c r="J30" s="1"/>
      <c r="K30" s="1"/>
    </row>
    <row r="31" spans="1:13" x14ac:dyDescent="0.25">
      <c r="B31" s="1" t="s">
        <v>0</v>
      </c>
      <c r="C31" s="1" t="s">
        <v>1</v>
      </c>
      <c r="D31" s="1"/>
      <c r="E31" s="1"/>
      <c r="F31" s="1"/>
      <c r="G31" s="1"/>
      <c r="H31" s="1"/>
      <c r="I31" s="1"/>
      <c r="J31" s="1"/>
      <c r="K31" s="1"/>
    </row>
    <row r="32" spans="1:13" x14ac:dyDescent="0.25">
      <c r="A32" s="1" t="s">
        <v>90</v>
      </c>
      <c r="B32" s="1">
        <v>21</v>
      </c>
      <c r="C32" s="1">
        <f>B32/309%</f>
        <v>6.7961165048543695</v>
      </c>
      <c r="D32" s="1"/>
      <c r="E32" s="1"/>
      <c r="F32" s="1"/>
      <c r="G32" s="1"/>
      <c r="H32" s="1"/>
      <c r="I32" s="1"/>
      <c r="J32" s="1"/>
      <c r="K32" s="1"/>
    </row>
    <row r="33" spans="1:11" x14ac:dyDescent="0.25">
      <c r="A33" s="1" t="s">
        <v>86</v>
      </c>
      <c r="B33" s="1">
        <v>1</v>
      </c>
      <c r="C33" s="1">
        <f t="shared" ref="C33:C40" si="9">B33/309%</f>
        <v>0.3236245954692557</v>
      </c>
      <c r="D33" s="1"/>
      <c r="E33" s="1"/>
      <c r="F33" s="1"/>
      <c r="G33" s="1"/>
      <c r="H33" s="1"/>
      <c r="I33" s="1"/>
      <c r="J33" s="1"/>
      <c r="K33" s="1"/>
    </row>
    <row r="34" spans="1:11" x14ac:dyDescent="0.25">
      <c r="A34" s="1" t="s">
        <v>18</v>
      </c>
      <c r="B34" s="1">
        <v>18</v>
      </c>
      <c r="C34" s="1">
        <f t="shared" si="9"/>
        <v>5.825242718446602</v>
      </c>
      <c r="D34" s="1"/>
      <c r="E34" s="1"/>
      <c r="F34" s="1"/>
      <c r="G34" s="1"/>
      <c r="H34" s="1"/>
      <c r="I34" s="1"/>
      <c r="J34" s="1"/>
      <c r="K34" s="1"/>
    </row>
    <row r="35" spans="1:11" x14ac:dyDescent="0.25">
      <c r="A35" s="1" t="s">
        <v>22</v>
      </c>
      <c r="B35" s="1">
        <v>7</v>
      </c>
      <c r="C35" s="1">
        <f t="shared" si="9"/>
        <v>2.2653721682847898</v>
      </c>
      <c r="D35" s="1"/>
      <c r="E35" s="1"/>
      <c r="F35" s="1"/>
      <c r="G35" s="1"/>
      <c r="H35" s="1"/>
      <c r="I35" s="1"/>
      <c r="J35" s="1"/>
      <c r="K35" s="1"/>
    </row>
    <row r="36" spans="1:11" x14ac:dyDescent="0.25">
      <c r="A36" s="1" t="s">
        <v>88</v>
      </c>
      <c r="B36" s="1">
        <v>1</v>
      </c>
      <c r="C36" s="1">
        <f t="shared" si="9"/>
        <v>0.3236245954692557</v>
      </c>
      <c r="D36" s="1"/>
      <c r="E36" s="1"/>
      <c r="F36" s="1"/>
      <c r="G36" s="1"/>
      <c r="H36" s="1"/>
      <c r="I36" s="1"/>
      <c r="J36" s="1"/>
      <c r="K36" s="1"/>
    </row>
    <row r="37" spans="1:11" x14ac:dyDescent="0.25">
      <c r="A37" s="7" t="s">
        <v>25</v>
      </c>
      <c r="B37" s="1">
        <v>1</v>
      </c>
      <c r="C37" s="1">
        <f t="shared" si="9"/>
        <v>0.3236245954692557</v>
      </c>
      <c r="D37" s="1"/>
      <c r="E37" s="1"/>
      <c r="F37" s="1"/>
      <c r="G37" s="1"/>
      <c r="H37" s="1"/>
      <c r="I37" s="1"/>
      <c r="J37" s="1"/>
      <c r="K37" s="1"/>
    </row>
    <row r="38" spans="1:11" x14ac:dyDescent="0.25">
      <c r="A38" s="7" t="s">
        <v>26</v>
      </c>
      <c r="B38" s="1">
        <v>98</v>
      </c>
      <c r="C38" s="1">
        <f t="shared" si="9"/>
        <v>31.715210355987058</v>
      </c>
      <c r="D38" s="1"/>
      <c r="E38" s="1"/>
      <c r="F38" s="1"/>
      <c r="G38" s="1"/>
      <c r="H38" s="1"/>
      <c r="I38" s="1"/>
      <c r="J38" s="1"/>
      <c r="K38" s="1"/>
    </row>
    <row r="39" spans="1:11" x14ac:dyDescent="0.25">
      <c r="A39" s="7" t="s">
        <v>28</v>
      </c>
      <c r="B39" s="1">
        <v>96</v>
      </c>
      <c r="C39" s="1">
        <f t="shared" si="9"/>
        <v>31.067961165048544</v>
      </c>
      <c r="D39" s="1"/>
      <c r="E39" s="1"/>
      <c r="F39" s="1"/>
      <c r="G39" s="1"/>
      <c r="H39" s="1"/>
      <c r="I39" s="1"/>
      <c r="J39" s="1"/>
      <c r="K39" s="1"/>
    </row>
    <row r="40" spans="1:11" x14ac:dyDescent="0.25">
      <c r="A40" s="7" t="s">
        <v>29</v>
      </c>
      <c r="B40" s="1">
        <v>66</v>
      </c>
      <c r="C40" s="1">
        <f t="shared" si="9"/>
        <v>21.359223300970875</v>
      </c>
      <c r="D40" s="1"/>
      <c r="E40" s="1"/>
      <c r="F40" s="1"/>
      <c r="G40" s="1"/>
      <c r="H40" s="1"/>
      <c r="I40" s="1"/>
      <c r="J40" s="1"/>
      <c r="K40" s="1"/>
    </row>
    <row r="41" spans="1:11" x14ac:dyDescent="0.25">
      <c r="A41" s="1" t="s">
        <v>33</v>
      </c>
      <c r="B41" s="1">
        <f>SUM(B32:B40)</f>
        <v>309</v>
      </c>
      <c r="C41" s="1">
        <f>SUM(C32:C40)</f>
        <v>100</v>
      </c>
      <c r="D41" s="1"/>
      <c r="E41" s="1"/>
      <c r="F41" s="1"/>
      <c r="G41" s="1"/>
      <c r="H41" s="1"/>
      <c r="I41" s="1"/>
      <c r="J41" s="1"/>
      <c r="K41" s="1"/>
    </row>
    <row r="42" spans="1:11" x14ac:dyDescent="0.25">
      <c r="B42" s="1"/>
      <c r="C42" s="1"/>
      <c r="D42" s="1"/>
      <c r="E42" s="1"/>
      <c r="F42" s="1"/>
      <c r="G42" s="1"/>
      <c r="H42" s="1"/>
      <c r="I42" s="1"/>
      <c r="J42" s="1"/>
      <c r="K42" s="1"/>
    </row>
    <row r="45" spans="1:11" x14ac:dyDescent="0.25">
      <c r="A45" s="1" t="s">
        <v>26</v>
      </c>
      <c r="B45" s="1">
        <v>98</v>
      </c>
      <c r="C45" s="1">
        <f>B45/205%</f>
        <v>47.804878048780495</v>
      </c>
    </row>
    <row r="46" spans="1:11" x14ac:dyDescent="0.25">
      <c r="A46" s="1" t="s">
        <v>28</v>
      </c>
      <c r="B46" s="1">
        <v>96</v>
      </c>
      <c r="C46" s="1">
        <f t="shared" ref="C46:C47" si="10">B46/205%</f>
        <v>46.829268292682933</v>
      </c>
    </row>
    <row r="47" spans="1:11" x14ac:dyDescent="0.25">
      <c r="A47" s="1" t="s">
        <v>29</v>
      </c>
      <c r="B47" s="1">
        <v>66</v>
      </c>
      <c r="C47" s="1">
        <f t="shared" si="10"/>
        <v>32.195121951219512</v>
      </c>
    </row>
    <row r="48" spans="1:11" x14ac:dyDescent="0.25">
      <c r="A48" s="1" t="s">
        <v>33</v>
      </c>
      <c r="B48" s="1">
        <f>SUM(B45:B47)</f>
        <v>260</v>
      </c>
      <c r="C48" s="1">
        <f>SUM(C45:C47)</f>
        <v>126.82926829268294</v>
      </c>
    </row>
  </sheetData>
  <mergeCells count="7">
    <mergeCell ref="L1:M1"/>
    <mergeCell ref="A1:A2"/>
    <mergeCell ref="B1:C1"/>
    <mergeCell ref="D1:E1"/>
    <mergeCell ref="F1:G1"/>
    <mergeCell ref="H1:I1"/>
    <mergeCell ref="J1:K1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7"/>
  <sheetViews>
    <sheetView zoomScale="70" zoomScaleNormal="70" workbookViewId="0">
      <selection activeCell="G17" sqref="G17"/>
    </sheetView>
  </sheetViews>
  <sheetFormatPr defaultRowHeight="15" x14ac:dyDescent="0.25"/>
  <cols>
    <col min="1" max="1" width="24.42578125" style="1" bestFit="1" customWidth="1"/>
    <col min="2" max="8" width="12.7109375" style="2" customWidth="1"/>
    <col min="9" max="11" width="7.7109375" style="2" customWidth="1"/>
    <col min="12" max="13" width="9.28515625" style="5" customWidth="1"/>
    <col min="14" max="17" width="7.7109375" style="2" customWidth="1"/>
    <col min="18" max="26" width="7.7109375" style="1" customWidth="1"/>
    <col min="27" max="16384" width="9.140625" style="1"/>
  </cols>
  <sheetData>
    <row r="1" spans="1:27" s="4" customFormat="1" ht="14.25" x14ac:dyDescent="0.2">
      <c r="A1" s="67" t="s">
        <v>11</v>
      </c>
      <c r="B1" s="5" t="s">
        <v>103</v>
      </c>
      <c r="C1" s="5" t="s">
        <v>153</v>
      </c>
      <c r="D1" s="5" t="s">
        <v>127</v>
      </c>
      <c r="E1" s="5" t="s">
        <v>83</v>
      </c>
      <c r="F1" s="5" t="s">
        <v>84</v>
      </c>
      <c r="G1" s="66" t="s">
        <v>85</v>
      </c>
      <c r="H1" s="66"/>
    </row>
    <row r="2" spans="1:27" s="4" customFormat="1" ht="14.25" x14ac:dyDescent="0.2">
      <c r="A2" s="67"/>
      <c r="B2" s="5" t="s">
        <v>34</v>
      </c>
      <c r="C2" s="5" t="s">
        <v>34</v>
      </c>
      <c r="D2" s="5" t="s">
        <v>34</v>
      </c>
      <c r="E2" s="5" t="s">
        <v>34</v>
      </c>
      <c r="F2" s="5" t="s">
        <v>34</v>
      </c>
      <c r="G2" s="5" t="s">
        <v>34</v>
      </c>
      <c r="H2" s="5" t="s">
        <v>1</v>
      </c>
    </row>
    <row r="3" spans="1:27" x14ac:dyDescent="0.25">
      <c r="A3" s="7" t="s">
        <v>25</v>
      </c>
      <c r="F3" s="2">
        <v>1</v>
      </c>
      <c r="G3" s="5">
        <f>SUM(B3,C3,D3,E3,F3)</f>
        <v>1</v>
      </c>
      <c r="H3" s="6">
        <f>G3/34%</f>
        <v>2.9411764705882351</v>
      </c>
      <c r="I3" s="1"/>
      <c r="J3" s="1"/>
      <c r="K3" s="1"/>
      <c r="L3" s="1"/>
      <c r="M3" s="1"/>
      <c r="N3" s="1"/>
      <c r="O3" s="1"/>
      <c r="P3" s="1"/>
      <c r="Q3" s="1"/>
    </row>
    <row r="4" spans="1:27" x14ac:dyDescent="0.25">
      <c r="A4" s="7" t="s">
        <v>26</v>
      </c>
      <c r="B4" s="2">
        <v>1</v>
      </c>
      <c r="C4" s="2">
        <v>2</v>
      </c>
      <c r="D4" s="2">
        <v>4</v>
      </c>
      <c r="E4" s="2">
        <v>1</v>
      </c>
      <c r="F4" s="2">
        <v>6</v>
      </c>
      <c r="G4" s="5">
        <f>SUM(B4,C4,D4,E4,F4)</f>
        <v>14</v>
      </c>
      <c r="H4" s="6">
        <f t="shared" ref="H4:H6" si="0">G4/34%</f>
        <v>41.17647058823529</v>
      </c>
      <c r="I4" s="1"/>
      <c r="J4" s="1"/>
      <c r="K4" s="1"/>
      <c r="L4" s="1"/>
      <c r="M4" s="1"/>
      <c r="N4" s="1"/>
      <c r="O4" s="1"/>
      <c r="P4" s="1"/>
      <c r="Q4" s="1"/>
    </row>
    <row r="5" spans="1:27" x14ac:dyDescent="0.25">
      <c r="A5" s="7" t="s">
        <v>28</v>
      </c>
      <c r="B5" s="2">
        <v>2</v>
      </c>
      <c r="C5" s="2">
        <v>2</v>
      </c>
      <c r="D5" s="2">
        <v>2</v>
      </c>
      <c r="E5" s="2">
        <v>2</v>
      </c>
      <c r="F5" s="2">
        <v>4</v>
      </c>
      <c r="G5" s="5">
        <f>SUM(B5,C5,D5,E5,F5)</f>
        <v>12</v>
      </c>
      <c r="H5" s="6">
        <f t="shared" si="0"/>
        <v>35.294117647058819</v>
      </c>
      <c r="I5" s="1"/>
      <c r="J5" s="1"/>
      <c r="K5" s="1"/>
      <c r="L5" s="1"/>
      <c r="M5" s="1"/>
      <c r="N5" s="1"/>
      <c r="O5" s="1"/>
      <c r="P5" s="1"/>
      <c r="Q5" s="1"/>
    </row>
    <row r="6" spans="1:27" x14ac:dyDescent="0.25">
      <c r="A6" s="7" t="s">
        <v>29</v>
      </c>
      <c r="C6" s="2">
        <v>1</v>
      </c>
      <c r="D6" s="2">
        <v>2</v>
      </c>
      <c r="F6" s="2">
        <v>4</v>
      </c>
      <c r="G6" s="5">
        <f>SUM(B6,C6,D6,E6,F6)</f>
        <v>7</v>
      </c>
      <c r="H6" s="6">
        <f t="shared" si="0"/>
        <v>20.588235294117645</v>
      </c>
      <c r="I6" s="1"/>
      <c r="J6" s="1"/>
      <c r="K6" s="1"/>
      <c r="L6" s="1"/>
      <c r="M6" s="1"/>
      <c r="N6" s="1"/>
      <c r="O6" s="1"/>
      <c r="P6" s="1"/>
      <c r="Q6" s="1"/>
    </row>
    <row r="7" spans="1:27" s="4" customFormat="1" ht="14.25" x14ac:dyDescent="0.2">
      <c r="A7" s="4" t="s">
        <v>33</v>
      </c>
      <c r="B7" s="5">
        <f t="shared" ref="B7:H7" si="1">SUM(B1:B6)</f>
        <v>3</v>
      </c>
      <c r="C7" s="5">
        <f t="shared" si="1"/>
        <v>5</v>
      </c>
      <c r="D7" s="5">
        <f t="shared" si="1"/>
        <v>8</v>
      </c>
      <c r="E7" s="5">
        <f t="shared" si="1"/>
        <v>3</v>
      </c>
      <c r="F7" s="5">
        <f t="shared" si="1"/>
        <v>15</v>
      </c>
      <c r="G7" s="5">
        <f t="shared" si="1"/>
        <v>34</v>
      </c>
      <c r="H7" s="5">
        <f t="shared" si="1"/>
        <v>100</v>
      </c>
    </row>
    <row r="8" spans="1:27" x14ac:dyDescent="0.25">
      <c r="R8" s="2"/>
      <c r="S8" s="2"/>
      <c r="T8" s="2"/>
      <c r="U8" s="2"/>
      <c r="V8" s="2"/>
      <c r="W8" s="2"/>
      <c r="X8" s="2"/>
      <c r="Y8" s="2"/>
      <c r="Z8" s="2"/>
      <c r="AA8" s="2"/>
    </row>
    <row r="14" spans="1:27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  <c r="L14" s="4"/>
      <c r="M14" s="4"/>
      <c r="N14" s="1"/>
      <c r="O14" s="1"/>
      <c r="P14" s="1"/>
      <c r="Q14" s="1"/>
    </row>
    <row r="15" spans="1:27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4"/>
      <c r="M15" s="4"/>
      <c r="N15" s="1"/>
      <c r="O15" s="1"/>
      <c r="P15" s="1"/>
      <c r="Q15" s="1"/>
    </row>
    <row r="16" spans="1:27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4"/>
      <c r="M16" s="4"/>
      <c r="N16" s="1"/>
      <c r="O16" s="1"/>
      <c r="P16" s="1"/>
      <c r="Q16" s="1"/>
    </row>
    <row r="17" spans="2:17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4"/>
      <c r="M17" s="4"/>
      <c r="N17" s="1"/>
      <c r="O17" s="1"/>
      <c r="P17" s="1"/>
      <c r="Q17" s="1"/>
    </row>
    <row r="18" spans="2:17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4"/>
      <c r="M18" s="4"/>
      <c r="N18" s="1"/>
      <c r="O18" s="1"/>
      <c r="P18" s="1"/>
      <c r="Q18" s="1"/>
    </row>
    <row r="19" spans="2:17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4"/>
      <c r="M19" s="4"/>
      <c r="N19" s="1"/>
      <c r="O19" s="1"/>
      <c r="P19" s="1"/>
      <c r="Q19" s="1"/>
    </row>
    <row r="20" spans="2:17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4"/>
      <c r="M20" s="4"/>
      <c r="N20" s="1"/>
      <c r="O20" s="1"/>
      <c r="P20" s="1"/>
      <c r="Q20" s="1"/>
    </row>
    <row r="21" spans="2:17" x14ac:dyDescent="0.25">
      <c r="B21" s="1"/>
      <c r="C21" s="1"/>
      <c r="D21" s="1"/>
      <c r="E21" s="1"/>
      <c r="F21" s="1"/>
      <c r="G21" s="1"/>
      <c r="H21" s="1"/>
      <c r="I21" s="1"/>
      <c r="J21" s="1"/>
      <c r="K21" s="1"/>
      <c r="L21" s="4"/>
      <c r="M21" s="4"/>
      <c r="N21" s="1"/>
      <c r="O21" s="1"/>
      <c r="P21" s="1"/>
      <c r="Q21" s="1"/>
    </row>
    <row r="24" spans="2:17" x14ac:dyDescent="0.25">
      <c r="B24" s="1"/>
      <c r="C24" s="1"/>
    </row>
    <row r="25" spans="2:17" x14ac:dyDescent="0.25">
      <c r="B25" s="1"/>
      <c r="C25" s="1"/>
    </row>
    <row r="26" spans="2:17" x14ac:dyDescent="0.25">
      <c r="B26" s="1"/>
      <c r="C26" s="1"/>
    </row>
    <row r="27" spans="2:17" x14ac:dyDescent="0.25">
      <c r="B27" s="1"/>
      <c r="C27" s="1"/>
    </row>
  </sheetData>
  <mergeCells count="2">
    <mergeCell ref="A1:A2"/>
    <mergeCell ref="G1:H1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topLeftCell="A16" workbookViewId="0">
      <selection activeCell="A39" sqref="A39:XFD39"/>
    </sheetView>
  </sheetViews>
  <sheetFormatPr defaultRowHeight="15" x14ac:dyDescent="0.25"/>
  <cols>
    <col min="1" max="1" width="14.7109375" bestFit="1" customWidth="1"/>
    <col min="2" max="10" width="9.140625" style="17"/>
    <col min="257" max="257" width="14.7109375" bestFit="1" customWidth="1"/>
    <col min="513" max="513" width="14.7109375" bestFit="1" customWidth="1"/>
    <col min="769" max="769" width="14.7109375" bestFit="1" customWidth="1"/>
    <col min="1025" max="1025" width="14.7109375" bestFit="1" customWidth="1"/>
    <col min="1281" max="1281" width="14.7109375" bestFit="1" customWidth="1"/>
    <col min="1537" max="1537" width="14.7109375" bestFit="1" customWidth="1"/>
    <col min="1793" max="1793" width="14.7109375" bestFit="1" customWidth="1"/>
    <col min="2049" max="2049" width="14.7109375" bestFit="1" customWidth="1"/>
    <col min="2305" max="2305" width="14.7109375" bestFit="1" customWidth="1"/>
    <col min="2561" max="2561" width="14.7109375" bestFit="1" customWidth="1"/>
    <col min="2817" max="2817" width="14.7109375" bestFit="1" customWidth="1"/>
    <col min="3073" max="3073" width="14.7109375" bestFit="1" customWidth="1"/>
    <col min="3329" max="3329" width="14.7109375" bestFit="1" customWidth="1"/>
    <col min="3585" max="3585" width="14.7109375" bestFit="1" customWidth="1"/>
    <col min="3841" max="3841" width="14.7109375" bestFit="1" customWidth="1"/>
    <col min="4097" max="4097" width="14.7109375" bestFit="1" customWidth="1"/>
    <col min="4353" max="4353" width="14.7109375" bestFit="1" customWidth="1"/>
    <col min="4609" max="4609" width="14.7109375" bestFit="1" customWidth="1"/>
    <col min="4865" max="4865" width="14.7109375" bestFit="1" customWidth="1"/>
    <col min="5121" max="5121" width="14.7109375" bestFit="1" customWidth="1"/>
    <col min="5377" max="5377" width="14.7109375" bestFit="1" customWidth="1"/>
    <col min="5633" max="5633" width="14.7109375" bestFit="1" customWidth="1"/>
    <col min="5889" max="5889" width="14.7109375" bestFit="1" customWidth="1"/>
    <col min="6145" max="6145" width="14.7109375" bestFit="1" customWidth="1"/>
    <col min="6401" max="6401" width="14.7109375" bestFit="1" customWidth="1"/>
    <col min="6657" max="6657" width="14.7109375" bestFit="1" customWidth="1"/>
    <col min="6913" max="6913" width="14.7109375" bestFit="1" customWidth="1"/>
    <col min="7169" max="7169" width="14.7109375" bestFit="1" customWidth="1"/>
    <col min="7425" max="7425" width="14.7109375" bestFit="1" customWidth="1"/>
    <col min="7681" max="7681" width="14.7109375" bestFit="1" customWidth="1"/>
    <col min="7937" max="7937" width="14.7109375" bestFit="1" customWidth="1"/>
    <col min="8193" max="8193" width="14.7109375" bestFit="1" customWidth="1"/>
    <col min="8449" max="8449" width="14.7109375" bestFit="1" customWidth="1"/>
    <col min="8705" max="8705" width="14.7109375" bestFit="1" customWidth="1"/>
    <col min="8961" max="8961" width="14.7109375" bestFit="1" customWidth="1"/>
    <col min="9217" max="9217" width="14.7109375" bestFit="1" customWidth="1"/>
    <col min="9473" max="9473" width="14.7109375" bestFit="1" customWidth="1"/>
    <col min="9729" max="9729" width="14.7109375" bestFit="1" customWidth="1"/>
    <col min="9985" max="9985" width="14.7109375" bestFit="1" customWidth="1"/>
    <col min="10241" max="10241" width="14.7109375" bestFit="1" customWidth="1"/>
    <col min="10497" max="10497" width="14.7109375" bestFit="1" customWidth="1"/>
    <col min="10753" max="10753" width="14.7109375" bestFit="1" customWidth="1"/>
    <col min="11009" max="11009" width="14.7109375" bestFit="1" customWidth="1"/>
    <col min="11265" max="11265" width="14.7109375" bestFit="1" customWidth="1"/>
    <col min="11521" max="11521" width="14.7109375" bestFit="1" customWidth="1"/>
    <col min="11777" max="11777" width="14.7109375" bestFit="1" customWidth="1"/>
    <col min="12033" max="12033" width="14.7109375" bestFit="1" customWidth="1"/>
    <col min="12289" max="12289" width="14.7109375" bestFit="1" customWidth="1"/>
    <col min="12545" max="12545" width="14.7109375" bestFit="1" customWidth="1"/>
    <col min="12801" max="12801" width="14.7109375" bestFit="1" customWidth="1"/>
    <col min="13057" max="13057" width="14.7109375" bestFit="1" customWidth="1"/>
    <col min="13313" max="13313" width="14.7109375" bestFit="1" customWidth="1"/>
    <col min="13569" max="13569" width="14.7109375" bestFit="1" customWidth="1"/>
    <col min="13825" max="13825" width="14.7109375" bestFit="1" customWidth="1"/>
    <col min="14081" max="14081" width="14.7109375" bestFit="1" customWidth="1"/>
    <col min="14337" max="14337" width="14.7109375" bestFit="1" customWidth="1"/>
    <col min="14593" max="14593" width="14.7109375" bestFit="1" customWidth="1"/>
    <col min="14849" max="14849" width="14.7109375" bestFit="1" customWidth="1"/>
    <col min="15105" max="15105" width="14.7109375" bestFit="1" customWidth="1"/>
    <col min="15361" max="15361" width="14.7109375" bestFit="1" customWidth="1"/>
    <col min="15617" max="15617" width="14.7109375" bestFit="1" customWidth="1"/>
    <col min="15873" max="15873" width="14.7109375" bestFit="1" customWidth="1"/>
    <col min="16129" max="16129" width="14.7109375" bestFit="1" customWidth="1"/>
  </cols>
  <sheetData>
    <row r="1" spans="1:10" s="1" customFormat="1" ht="18.75" x14ac:dyDescent="0.3">
      <c r="A1" s="68" t="s">
        <v>162</v>
      </c>
      <c r="B1" s="68"/>
      <c r="C1" s="68"/>
      <c r="D1" s="68"/>
      <c r="E1" s="68"/>
      <c r="F1" s="68"/>
      <c r="G1" s="68"/>
      <c r="H1" s="68"/>
      <c r="I1" s="68"/>
      <c r="J1" s="68"/>
    </row>
    <row r="2" spans="1:10" x14ac:dyDescent="0.25">
      <c r="A2" s="67" t="s">
        <v>35</v>
      </c>
      <c r="B2" s="66" t="s">
        <v>36</v>
      </c>
      <c r="C2" s="66"/>
      <c r="D2" s="66"/>
      <c r="E2" s="66" t="s">
        <v>37</v>
      </c>
      <c r="F2" s="66"/>
      <c r="G2" s="66"/>
      <c r="H2" s="71" t="s">
        <v>38</v>
      </c>
      <c r="I2" s="66"/>
      <c r="J2" s="66"/>
    </row>
    <row r="3" spans="1:10" x14ac:dyDescent="0.25">
      <c r="A3" s="67"/>
      <c r="B3" s="5" t="s">
        <v>82</v>
      </c>
      <c r="C3" s="5" t="s">
        <v>91</v>
      </c>
      <c r="D3" s="5" t="s">
        <v>92</v>
      </c>
      <c r="E3" s="5" t="s">
        <v>82</v>
      </c>
      <c r="F3" s="5" t="s">
        <v>91</v>
      </c>
      <c r="G3" s="5" t="s">
        <v>92</v>
      </c>
      <c r="H3" s="5" t="s">
        <v>82</v>
      </c>
      <c r="I3" s="5" t="s">
        <v>91</v>
      </c>
      <c r="J3" s="5" t="s">
        <v>92</v>
      </c>
    </row>
    <row r="4" spans="1:10" x14ac:dyDescent="0.25">
      <c r="A4" s="1" t="s">
        <v>41</v>
      </c>
      <c r="E4" s="2"/>
      <c r="F4" s="2"/>
      <c r="G4" s="2"/>
      <c r="H4" s="2"/>
      <c r="I4" s="2"/>
      <c r="J4" s="2"/>
    </row>
    <row r="5" spans="1:10" x14ac:dyDescent="0.25">
      <c r="A5" s="1" t="s">
        <v>42</v>
      </c>
      <c r="B5" s="17">
        <v>13</v>
      </c>
      <c r="C5" s="17">
        <v>3</v>
      </c>
      <c r="D5" s="17">
        <v>3</v>
      </c>
      <c r="E5" s="2"/>
      <c r="F5" s="2"/>
      <c r="G5" s="2"/>
      <c r="H5" s="2">
        <v>10</v>
      </c>
      <c r="I5" s="2">
        <v>4</v>
      </c>
      <c r="J5" s="2">
        <v>3</v>
      </c>
    </row>
    <row r="6" spans="1:10" x14ac:dyDescent="0.25">
      <c r="A6" s="1" t="s">
        <v>43</v>
      </c>
      <c r="B6" s="17">
        <v>2</v>
      </c>
      <c r="C6" s="17">
        <v>2</v>
      </c>
      <c r="D6" s="17">
        <v>2</v>
      </c>
      <c r="E6" s="2">
        <v>2</v>
      </c>
      <c r="F6" s="2">
        <v>2</v>
      </c>
      <c r="G6" s="2">
        <v>2</v>
      </c>
      <c r="H6" s="2">
        <v>3</v>
      </c>
      <c r="I6" s="2">
        <v>3</v>
      </c>
      <c r="J6" s="2">
        <v>2</v>
      </c>
    </row>
    <row r="7" spans="1:10" x14ac:dyDescent="0.25">
      <c r="A7" s="1" t="s">
        <v>44</v>
      </c>
      <c r="B7" s="17">
        <v>12</v>
      </c>
      <c r="C7" s="17">
        <v>6</v>
      </c>
      <c r="D7" s="17">
        <v>5</v>
      </c>
      <c r="E7" s="2">
        <v>1</v>
      </c>
      <c r="F7" s="2">
        <v>1</v>
      </c>
      <c r="G7" s="2">
        <v>1</v>
      </c>
      <c r="H7" s="17">
        <v>8</v>
      </c>
      <c r="I7" s="17">
        <v>3</v>
      </c>
      <c r="J7" s="17">
        <v>2</v>
      </c>
    </row>
    <row r="8" spans="1:10" x14ac:dyDescent="0.25">
      <c r="A8" s="1" t="s">
        <v>45</v>
      </c>
      <c r="B8" s="17">
        <v>19</v>
      </c>
      <c r="C8" s="17">
        <v>14</v>
      </c>
      <c r="D8" s="17">
        <v>7</v>
      </c>
      <c r="E8" s="17">
        <v>8</v>
      </c>
      <c r="F8" s="2">
        <v>8</v>
      </c>
      <c r="G8" s="10">
        <v>7</v>
      </c>
      <c r="H8" s="2">
        <v>7</v>
      </c>
      <c r="I8" s="10">
        <v>7</v>
      </c>
      <c r="J8" s="10">
        <v>3</v>
      </c>
    </row>
    <row r="9" spans="1:10" x14ac:dyDescent="0.25">
      <c r="A9" s="1" t="s">
        <v>93</v>
      </c>
      <c r="E9" s="17">
        <v>1</v>
      </c>
      <c r="F9" s="2">
        <v>1</v>
      </c>
      <c r="G9" s="10">
        <v>1</v>
      </c>
      <c r="H9" s="2"/>
      <c r="I9" s="10"/>
      <c r="J9" s="10"/>
    </row>
    <row r="10" spans="1:10" x14ac:dyDescent="0.25">
      <c r="A10" s="1" t="s">
        <v>46</v>
      </c>
      <c r="E10" s="2"/>
      <c r="F10" s="2"/>
      <c r="G10" s="2"/>
      <c r="H10" s="2"/>
      <c r="I10" s="2"/>
      <c r="J10" s="2"/>
    </row>
    <row r="11" spans="1:10" x14ac:dyDescent="0.25">
      <c r="A11" s="1" t="s">
        <v>47</v>
      </c>
      <c r="E11" s="2"/>
      <c r="F11" s="2"/>
      <c r="G11" s="2"/>
      <c r="H11" s="2"/>
      <c r="I11" s="2"/>
      <c r="J11" s="2"/>
    </row>
    <row r="12" spans="1:10" x14ac:dyDescent="0.25">
      <c r="A12" s="1" t="s">
        <v>48</v>
      </c>
      <c r="E12" s="2">
        <v>2</v>
      </c>
      <c r="F12" s="2">
        <v>2</v>
      </c>
      <c r="G12" s="2">
        <v>2</v>
      </c>
      <c r="H12" s="2">
        <v>5</v>
      </c>
      <c r="I12" s="2">
        <v>3</v>
      </c>
      <c r="J12" s="2">
        <v>3</v>
      </c>
    </row>
    <row r="13" spans="1:10" x14ac:dyDescent="0.25">
      <c r="A13" s="1" t="s">
        <v>49</v>
      </c>
      <c r="E13" s="2">
        <v>4</v>
      </c>
      <c r="F13" s="2">
        <v>2</v>
      </c>
      <c r="G13" s="2">
        <v>2</v>
      </c>
      <c r="H13" s="2">
        <v>7</v>
      </c>
      <c r="I13" s="2">
        <v>4</v>
      </c>
      <c r="J13" s="2">
        <v>3</v>
      </c>
    </row>
    <row r="14" spans="1:10" x14ac:dyDescent="0.25">
      <c r="A14" s="1" t="s">
        <v>50</v>
      </c>
      <c r="E14" s="2">
        <v>8</v>
      </c>
      <c r="F14" s="2">
        <v>4</v>
      </c>
      <c r="G14" s="2">
        <v>4</v>
      </c>
      <c r="H14" s="2"/>
      <c r="I14" s="2"/>
      <c r="J14" s="2"/>
    </row>
    <row r="15" spans="1:10" x14ac:dyDescent="0.25">
      <c r="A15" s="1" t="s">
        <v>51</v>
      </c>
      <c r="E15" s="2"/>
      <c r="F15" s="2"/>
      <c r="G15" s="2"/>
      <c r="H15" s="2">
        <v>2</v>
      </c>
      <c r="I15" s="2">
        <v>1</v>
      </c>
      <c r="J15" s="2">
        <v>1</v>
      </c>
    </row>
    <row r="16" spans="1:10" x14ac:dyDescent="0.25">
      <c r="A16" s="1" t="s">
        <v>94</v>
      </c>
      <c r="E16" s="2">
        <v>1</v>
      </c>
      <c r="F16" s="2">
        <v>1</v>
      </c>
      <c r="G16" s="2">
        <v>1</v>
      </c>
      <c r="H16" s="2"/>
      <c r="I16" s="2"/>
      <c r="J16" s="2"/>
    </row>
    <row r="17" spans="1:10" x14ac:dyDescent="0.25">
      <c r="A17" s="1" t="s">
        <v>52</v>
      </c>
      <c r="E17" s="17">
        <v>1</v>
      </c>
      <c r="F17" s="17">
        <v>1</v>
      </c>
      <c r="G17" s="17">
        <v>1</v>
      </c>
      <c r="H17" s="2">
        <v>3</v>
      </c>
      <c r="I17" s="2">
        <v>1</v>
      </c>
      <c r="J17" s="2">
        <v>1</v>
      </c>
    </row>
    <row r="18" spans="1:10" x14ac:dyDescent="0.25">
      <c r="A18" s="1" t="s">
        <v>53</v>
      </c>
      <c r="B18" s="17">
        <v>15</v>
      </c>
      <c r="C18" s="17">
        <v>9</v>
      </c>
      <c r="D18" s="17">
        <v>4</v>
      </c>
      <c r="E18" s="2">
        <v>52</v>
      </c>
      <c r="F18" s="2">
        <v>12</v>
      </c>
      <c r="G18" s="2">
        <v>6</v>
      </c>
      <c r="H18" s="2">
        <v>4</v>
      </c>
      <c r="I18" s="2">
        <v>1</v>
      </c>
      <c r="J18" s="2">
        <v>1</v>
      </c>
    </row>
    <row r="19" spans="1:10" x14ac:dyDescent="0.25">
      <c r="A19" s="1" t="s">
        <v>54</v>
      </c>
      <c r="B19" s="17">
        <v>3</v>
      </c>
      <c r="C19" s="17">
        <v>2</v>
      </c>
      <c r="D19" s="17">
        <v>2</v>
      </c>
      <c r="E19" s="2">
        <v>3</v>
      </c>
      <c r="F19" s="2">
        <v>3</v>
      </c>
      <c r="G19" s="2">
        <v>3</v>
      </c>
      <c r="H19" s="2">
        <v>3</v>
      </c>
      <c r="I19" s="2">
        <v>3</v>
      </c>
      <c r="J19" s="2">
        <v>3</v>
      </c>
    </row>
    <row r="20" spans="1:10" x14ac:dyDescent="0.25">
      <c r="A20" s="1" t="s">
        <v>55</v>
      </c>
      <c r="B20" s="17">
        <v>3</v>
      </c>
      <c r="C20" s="17">
        <v>3</v>
      </c>
      <c r="D20" s="17">
        <v>3</v>
      </c>
      <c r="E20" s="2">
        <v>5</v>
      </c>
      <c r="F20" s="2">
        <v>4</v>
      </c>
      <c r="G20" s="2">
        <v>3</v>
      </c>
      <c r="H20" s="2">
        <v>3</v>
      </c>
      <c r="I20" s="2">
        <v>3</v>
      </c>
      <c r="J20" s="2">
        <v>2</v>
      </c>
    </row>
    <row r="21" spans="1:10" x14ac:dyDescent="0.25">
      <c r="A21" s="1" t="s">
        <v>56</v>
      </c>
      <c r="B21" s="17">
        <v>11</v>
      </c>
      <c r="C21" s="17">
        <v>9</v>
      </c>
      <c r="D21" s="17">
        <v>6</v>
      </c>
      <c r="E21" s="2">
        <v>2</v>
      </c>
      <c r="F21" s="2">
        <v>2</v>
      </c>
      <c r="G21" s="2">
        <v>2</v>
      </c>
      <c r="H21" s="2"/>
      <c r="I21" s="2"/>
      <c r="J21" s="2"/>
    </row>
    <row r="22" spans="1:10" x14ac:dyDescent="0.25">
      <c r="A22" s="1" t="s">
        <v>57</v>
      </c>
      <c r="B22" s="17">
        <v>3</v>
      </c>
      <c r="C22" s="17">
        <v>3</v>
      </c>
      <c r="D22" s="17">
        <v>3</v>
      </c>
      <c r="E22" s="2">
        <v>1</v>
      </c>
      <c r="F22" s="2">
        <v>1</v>
      </c>
      <c r="G22" s="2">
        <v>1</v>
      </c>
      <c r="H22" s="2">
        <v>3</v>
      </c>
      <c r="I22" s="2">
        <v>3</v>
      </c>
      <c r="J22" s="2">
        <v>3</v>
      </c>
    </row>
    <row r="23" spans="1:10" x14ac:dyDescent="0.25">
      <c r="A23" s="1" t="s">
        <v>58</v>
      </c>
      <c r="B23" s="17">
        <v>6</v>
      </c>
      <c r="C23" s="17">
        <v>5</v>
      </c>
      <c r="D23" s="17">
        <v>4</v>
      </c>
      <c r="E23" s="2">
        <v>5</v>
      </c>
      <c r="F23" s="2">
        <v>3</v>
      </c>
      <c r="G23" s="2">
        <v>3</v>
      </c>
      <c r="H23" s="2">
        <v>5</v>
      </c>
      <c r="I23" s="2">
        <v>2</v>
      </c>
      <c r="J23" s="2">
        <v>1</v>
      </c>
    </row>
    <row r="24" spans="1:10" x14ac:dyDescent="0.25">
      <c r="A24" s="1" t="s">
        <v>59</v>
      </c>
      <c r="B24" s="17">
        <v>4</v>
      </c>
      <c r="C24" s="17">
        <v>4</v>
      </c>
      <c r="D24" s="17">
        <v>4</v>
      </c>
      <c r="E24" s="2">
        <v>1</v>
      </c>
      <c r="F24" s="2">
        <v>1</v>
      </c>
      <c r="G24" s="2">
        <v>1</v>
      </c>
      <c r="H24" s="2"/>
      <c r="I24" s="2"/>
      <c r="J24" s="2"/>
    </row>
    <row r="25" spans="1:10" x14ac:dyDescent="0.25">
      <c r="A25" s="1" t="s">
        <v>60</v>
      </c>
      <c r="E25" s="2"/>
      <c r="F25" s="2"/>
      <c r="G25" s="2"/>
      <c r="H25" s="2"/>
      <c r="I25" s="2"/>
      <c r="J25" s="2"/>
    </row>
    <row r="26" spans="1:10" x14ac:dyDescent="0.25">
      <c r="A26" s="1" t="s">
        <v>61</v>
      </c>
      <c r="B26" s="17">
        <v>2</v>
      </c>
      <c r="C26" s="17">
        <v>1</v>
      </c>
      <c r="D26" s="17">
        <v>1</v>
      </c>
      <c r="E26" s="2">
        <v>2</v>
      </c>
      <c r="F26" s="2">
        <v>2</v>
      </c>
      <c r="G26" s="2">
        <v>2</v>
      </c>
      <c r="H26" s="2">
        <v>2</v>
      </c>
      <c r="I26" s="2">
        <v>1</v>
      </c>
      <c r="J26" s="2">
        <v>1</v>
      </c>
    </row>
    <row r="27" spans="1:10" x14ac:dyDescent="0.25">
      <c r="A27" s="1" t="s">
        <v>62</v>
      </c>
      <c r="B27" s="17">
        <v>4</v>
      </c>
      <c r="C27" s="17">
        <v>2</v>
      </c>
      <c r="D27" s="17">
        <v>1</v>
      </c>
      <c r="E27" s="2"/>
      <c r="F27" s="2"/>
      <c r="G27" s="2"/>
      <c r="H27" s="2"/>
      <c r="I27" s="2"/>
      <c r="J27" s="2"/>
    </row>
    <row r="28" spans="1:10" x14ac:dyDescent="0.25">
      <c r="A28" s="1" t="s">
        <v>63</v>
      </c>
      <c r="E28" s="2">
        <v>1</v>
      </c>
      <c r="F28" s="2">
        <v>1</v>
      </c>
      <c r="G28" s="2">
        <v>1</v>
      </c>
      <c r="H28" s="2"/>
      <c r="I28" s="2"/>
      <c r="J28" s="2"/>
    </row>
    <row r="29" spans="1:10" x14ac:dyDescent="0.25">
      <c r="A29" s="1" t="s">
        <v>64</v>
      </c>
      <c r="B29" s="17">
        <v>3</v>
      </c>
      <c r="C29" s="17">
        <v>3</v>
      </c>
      <c r="D29" s="17">
        <v>2</v>
      </c>
      <c r="E29" s="2">
        <v>1</v>
      </c>
      <c r="F29" s="2">
        <v>1</v>
      </c>
      <c r="G29" s="2">
        <v>1</v>
      </c>
      <c r="H29" s="2"/>
      <c r="I29" s="2"/>
      <c r="J29" s="2"/>
    </row>
    <row r="30" spans="1:10" x14ac:dyDescent="0.25">
      <c r="A30" s="1" t="s">
        <v>65</v>
      </c>
      <c r="B30" s="17">
        <v>2</v>
      </c>
      <c r="C30" s="17">
        <v>2</v>
      </c>
      <c r="D30" s="17">
        <v>2</v>
      </c>
      <c r="E30" s="2">
        <v>1</v>
      </c>
      <c r="F30" s="2">
        <v>1</v>
      </c>
      <c r="G30" s="2">
        <v>1</v>
      </c>
      <c r="H30" s="2"/>
      <c r="I30" s="2"/>
      <c r="J30" s="2"/>
    </row>
    <row r="31" spans="1:10" x14ac:dyDescent="0.25">
      <c r="A31" s="1" t="s">
        <v>66</v>
      </c>
      <c r="E31" s="2"/>
      <c r="F31" s="2"/>
      <c r="G31" s="2"/>
      <c r="H31" s="2"/>
      <c r="I31" s="2"/>
      <c r="J31" s="2"/>
    </row>
    <row r="32" spans="1:10" x14ac:dyDescent="0.25">
      <c r="A32" s="1" t="s">
        <v>67</v>
      </c>
      <c r="B32" s="17">
        <v>6</v>
      </c>
      <c r="C32" s="17">
        <v>6</v>
      </c>
      <c r="D32" s="17">
        <v>4</v>
      </c>
      <c r="E32" s="2">
        <v>2</v>
      </c>
      <c r="F32" s="2">
        <v>2</v>
      </c>
      <c r="G32" s="2">
        <v>2</v>
      </c>
      <c r="H32" s="2"/>
      <c r="I32" s="2"/>
      <c r="J32" s="2"/>
    </row>
    <row r="33" spans="1:10" x14ac:dyDescent="0.25">
      <c r="A33" s="1" t="s">
        <v>68</v>
      </c>
      <c r="B33" s="17">
        <v>5</v>
      </c>
      <c r="C33" s="17">
        <v>5</v>
      </c>
      <c r="D33" s="17">
        <v>1</v>
      </c>
      <c r="E33" s="2">
        <v>3</v>
      </c>
      <c r="F33" s="2">
        <v>3</v>
      </c>
      <c r="G33" s="2">
        <v>3</v>
      </c>
      <c r="H33" s="2">
        <v>1</v>
      </c>
      <c r="I33" s="2">
        <v>1</v>
      </c>
      <c r="J33" s="2">
        <v>1</v>
      </c>
    </row>
    <row r="34" spans="1:10" x14ac:dyDescent="0.25">
      <c r="A34" s="1" t="s">
        <v>69</v>
      </c>
      <c r="B34" s="17">
        <v>9</v>
      </c>
      <c r="C34" s="17">
        <v>8</v>
      </c>
      <c r="D34" s="17">
        <v>3</v>
      </c>
      <c r="E34" s="2"/>
      <c r="F34" s="2"/>
      <c r="G34" s="2"/>
      <c r="H34" s="2">
        <v>1</v>
      </c>
      <c r="I34" s="2">
        <v>1</v>
      </c>
      <c r="J34" s="2">
        <v>1</v>
      </c>
    </row>
    <row r="35" spans="1:10" x14ac:dyDescent="0.25">
      <c r="A35" s="1" t="s">
        <v>70</v>
      </c>
      <c r="B35" s="17">
        <v>3</v>
      </c>
      <c r="C35" s="17">
        <v>3</v>
      </c>
      <c r="D35" s="17">
        <v>2</v>
      </c>
      <c r="E35" s="2">
        <v>1</v>
      </c>
      <c r="F35" s="2">
        <v>1</v>
      </c>
      <c r="G35" s="2">
        <v>1</v>
      </c>
      <c r="H35" s="2"/>
      <c r="I35" s="2"/>
      <c r="J35" s="2"/>
    </row>
    <row r="36" spans="1:10" x14ac:dyDescent="0.25">
      <c r="A36" s="1" t="s">
        <v>71</v>
      </c>
      <c r="B36" s="17">
        <v>2</v>
      </c>
      <c r="C36" s="17">
        <v>2</v>
      </c>
      <c r="D36" s="17">
        <v>2</v>
      </c>
      <c r="E36" s="2"/>
      <c r="F36" s="2"/>
      <c r="G36" s="2"/>
      <c r="H36" s="2">
        <v>1</v>
      </c>
      <c r="I36" s="2">
        <v>1</v>
      </c>
      <c r="J36" s="2">
        <v>1</v>
      </c>
    </row>
    <row r="37" spans="1:10" x14ac:dyDescent="0.25">
      <c r="A37" s="1" t="s">
        <v>72</v>
      </c>
      <c r="B37" s="17">
        <v>2</v>
      </c>
      <c r="C37" s="17">
        <v>2</v>
      </c>
      <c r="D37" s="17">
        <v>2</v>
      </c>
      <c r="E37" s="2"/>
      <c r="F37" s="2"/>
      <c r="G37" s="2"/>
      <c r="H37" s="2"/>
      <c r="I37" s="2"/>
      <c r="J37" s="2"/>
    </row>
    <row r="38" spans="1:10" x14ac:dyDescent="0.25">
      <c r="A38" s="1" t="s">
        <v>73</v>
      </c>
    </row>
    <row r="39" spans="1:10" s="18" customFormat="1" x14ac:dyDescent="0.25">
      <c r="A39" s="4" t="s">
        <v>74</v>
      </c>
      <c r="B39" s="51">
        <f>SUM(B2:B37)</f>
        <v>129</v>
      </c>
      <c r="C39" s="51">
        <f>SUM(C2:C37)</f>
        <v>94</v>
      </c>
      <c r="D39" s="51"/>
      <c r="E39" s="51">
        <f>SUM(E2:E37)</f>
        <v>108</v>
      </c>
      <c r="F39" s="51">
        <f>SUM(F2:F37)</f>
        <v>59</v>
      </c>
      <c r="G39" s="51"/>
      <c r="H39" s="51">
        <f>SUM(H2:H38)</f>
        <v>68</v>
      </c>
      <c r="I39" s="51">
        <f>SUM(I2:I38)</f>
        <v>42</v>
      </c>
      <c r="J39" s="51"/>
    </row>
  </sheetData>
  <mergeCells count="5">
    <mergeCell ref="A1:J1"/>
    <mergeCell ref="A2:A3"/>
    <mergeCell ref="B2:D2"/>
    <mergeCell ref="E2:G2"/>
    <mergeCell ref="H2:J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Table 1</vt:lpstr>
      <vt:lpstr>Table 2</vt:lpstr>
      <vt:lpstr>Table 3</vt:lpstr>
      <vt:lpstr>Table 4</vt:lpstr>
      <vt:lpstr>Table 5</vt:lpstr>
      <vt:lpstr>Table 6</vt:lpstr>
      <vt:lpstr>Table 7</vt:lpstr>
      <vt:lpstr>Table 8</vt:lpstr>
      <vt:lpstr>Table 9</vt:lpstr>
      <vt:lpstr>Table 10</vt:lpstr>
      <vt:lpstr>Table 11</vt:lpstr>
      <vt:lpstr>Table 12</vt:lpstr>
      <vt:lpstr>Table 13</vt:lpstr>
      <vt:lpstr>Table 14</vt:lpstr>
      <vt:lpstr>Tab 4.1 Ph4distribution by SUok</vt:lpstr>
      <vt:lpstr>Tab 4.2 Phase 4 NR+mni OK</vt:lpstr>
      <vt:lpstr>Table 15</vt:lpstr>
      <vt:lpstr>Table 16</vt:lpstr>
      <vt:lpstr>Table 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FRANCESCA</dc:creator>
  <cp:lastModifiedBy>sjcronin</cp:lastModifiedBy>
  <dcterms:created xsi:type="dcterms:W3CDTF">2015-01-09T11:53:23Z</dcterms:created>
  <dcterms:modified xsi:type="dcterms:W3CDTF">2016-09-16T16:48:56Z</dcterms:modified>
</cp:coreProperties>
</file>